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100" windowHeight="9360" activeTab="0"/>
  </bookViews>
  <sheets>
    <sheet name="Summary all EPM prodcuts" sheetId="1" r:id="rId1"/>
  </sheets>
  <definedNames>
    <definedName name="_xlnm.Print_Area" localSheetId="0">'Summary all EPM prodcuts'!$A$1:$P$57</definedName>
  </definedNames>
  <calcPr fullCalcOnLoad="1"/>
</workbook>
</file>

<file path=xl/comments1.xml><?xml version="1.0" encoding="utf-8"?>
<comments xmlns="http://schemas.openxmlformats.org/spreadsheetml/2006/main">
  <authors>
    <author>aartpru</author>
  </authors>
  <commentList>
    <comment ref="Y24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Z24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Y25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Z25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Y26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Z26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Y27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  <comment ref="Z27" authorId="0">
      <text>
        <r>
          <rPr>
            <b/>
            <sz val="8"/>
            <rFont val="Tahoma"/>
            <family val="0"/>
          </rPr>
          <t>aartpru:</t>
        </r>
        <r>
          <rPr>
            <sz val="8"/>
            <rFont val="Tahoma"/>
            <family val="0"/>
          </rPr>
          <t xml:space="preserve">
took % values from 3-wire</t>
        </r>
      </text>
    </comment>
  </commentList>
</comments>
</file>

<file path=xl/sharedStrings.xml><?xml version="1.0" encoding="utf-8"?>
<sst xmlns="http://schemas.openxmlformats.org/spreadsheetml/2006/main" count="190" uniqueCount="101">
  <si>
    <t>safe detected</t>
  </si>
  <si>
    <t>dangerous detected</t>
  </si>
  <si>
    <t>dangerous undetected</t>
  </si>
  <si>
    <t>Safe Failure Fraction (calc. from dd; du; sd; su)</t>
  </si>
  <si>
    <t>Product</t>
  </si>
  <si>
    <t>Typ</t>
  </si>
  <si>
    <t>Report</t>
  </si>
  <si>
    <t>λ sd</t>
  </si>
  <si>
    <t>λ su</t>
  </si>
  <si>
    <t>λ dd</t>
  </si>
  <si>
    <t>λ du</t>
  </si>
  <si>
    <t>λ d</t>
  </si>
  <si>
    <t>λ s</t>
  </si>
  <si>
    <t>SFF</t>
  </si>
  <si>
    <t>PFD</t>
  </si>
  <si>
    <t>R03/05-01 - May 20, 2003</t>
  </si>
  <si>
    <t>SIL 2</t>
  </si>
  <si>
    <t>R 02/07-14 - September 16, 2002</t>
  </si>
  <si>
    <t>1.29E-03</t>
  </si>
  <si>
    <r>
      <t>(</t>
    </r>
    <r>
      <rPr>
        <b/>
        <sz val="9"/>
        <rFont val="MS Mincho"/>
        <family val="3"/>
      </rPr>
      <t>λd = λdd + λdu)</t>
    </r>
  </si>
  <si>
    <r>
      <t>(</t>
    </r>
    <r>
      <rPr>
        <b/>
        <sz val="9"/>
        <rFont val="MS Mincho"/>
        <family val="3"/>
      </rPr>
      <t>λs = λsd + λsu)</t>
    </r>
  </si>
  <si>
    <t>R03/05-1 (2) - May 20, 2003</t>
  </si>
  <si>
    <t>Diagnostic coverage dangerous(calc. from dd and du)</t>
  </si>
  <si>
    <t>Diagnostic coverage safe (calc from sd and su)</t>
  </si>
  <si>
    <t>% Safe Failures</t>
  </si>
  <si>
    <t>% S F</t>
  </si>
  <si>
    <t>DCd</t>
  </si>
  <si>
    <t>DCs</t>
  </si>
  <si>
    <t>SIL Cap</t>
  </si>
  <si>
    <t>PFD-average ;  prooftestinterval one year</t>
  </si>
  <si>
    <t>3051C</t>
  </si>
  <si>
    <t>SIL 3</t>
  </si>
  <si>
    <t>FM/TUV Nov. 2000</t>
  </si>
  <si>
    <t>Ros 01/12-03 R110; Dec 2001</t>
  </si>
  <si>
    <t>3051S In-line</t>
  </si>
  <si>
    <t>3051S Coplanar</t>
  </si>
  <si>
    <t>644H T/C    w/o element</t>
  </si>
  <si>
    <t>644H RTD    w/o element</t>
  </si>
  <si>
    <t>ROS03/05-11  August 2003</t>
  </si>
  <si>
    <t>3144P T/C    w/o element</t>
  </si>
  <si>
    <t>ROS01/06-01  August 2001</t>
  </si>
  <si>
    <t>Rosemount Temperature</t>
  </si>
  <si>
    <t>Rosemount Pressure</t>
  </si>
  <si>
    <t xml:space="preserve"> MicroMotion  flow   </t>
  </si>
  <si>
    <t xml:space="preserve"> MicroMotion flow </t>
  </si>
  <si>
    <t>Measuring equipment with 4-20 mA output</t>
  </si>
  <si>
    <t>ROS 03/07-26 October 2003</t>
  </si>
  <si>
    <t>8732C Magmeter DC option</t>
  </si>
  <si>
    <t>8732C Magmeter AC option</t>
  </si>
  <si>
    <t>safe undetected (no effect + unnunciation undetected)</t>
  </si>
  <si>
    <t xml:space="preserve">PFD lies within the range of </t>
  </si>
  <si>
    <t>fail high</t>
  </si>
  <si>
    <t>fail low inh.</t>
  </si>
  <si>
    <t>no effect</t>
  </si>
  <si>
    <t>annunciation undetected</t>
  </si>
  <si>
    <t>for internal purpose only</t>
  </si>
  <si>
    <t>FM/TUV report states directly sd ; su ; dd and du</t>
  </si>
  <si>
    <t>Trip does not occur with the lower and upper current (all detected failures result in dangerous detected failures)</t>
  </si>
  <si>
    <t>Logic solver detects hardware fault of measuring equipment when current outside the normal operating range (lower and upper current)</t>
  </si>
  <si>
    <t>fail detected</t>
  </si>
  <si>
    <t>3051T</t>
  </si>
  <si>
    <t>Ros 01/12-01 R111; Dec 2001</t>
  </si>
  <si>
    <t>with sensor; detectable</t>
  </si>
  <si>
    <t>with sensor; undetectable</t>
  </si>
  <si>
    <t>644H T/C with low stress T/C</t>
  </si>
  <si>
    <t>SIL summary of Emerson Process Management ; revision 2 per 14 November 2003</t>
  </si>
  <si>
    <t>644H T/C with high stress T/C</t>
  </si>
  <si>
    <t>644H R with low stress RTD</t>
  </si>
  <si>
    <t>644H R with high stress RTD</t>
  </si>
  <si>
    <t>3144P with low stress T/C</t>
  </si>
  <si>
    <t>3144P with high stress T/C</t>
  </si>
  <si>
    <t>3144P 2 wire RTD w/o element</t>
  </si>
  <si>
    <t>Risk reduction</t>
  </si>
  <si>
    <t>3144P RTD with 2-wire; low stress;  extended</t>
  </si>
  <si>
    <t>3144P RTD with 2-wire; low stress ; close</t>
  </si>
  <si>
    <t>3144P RTD with 2-wire; high stress ; close</t>
  </si>
  <si>
    <t>3144P RTD with 2-wire; high stress;  extended</t>
  </si>
  <si>
    <t>SIL 1</t>
  </si>
  <si>
    <t>3144P 3 wire RTD w/o element</t>
  </si>
  <si>
    <t>3144P RTD with 3-wire; low stress ; close</t>
  </si>
  <si>
    <t>3144P RTD with 3-wire; low stress;  extended</t>
  </si>
  <si>
    <t>3144P RTD with 3-wire; high stress ; close</t>
  </si>
  <si>
    <t>3144P RTD with 3-wire; high stress;  extended</t>
  </si>
  <si>
    <t>3144P 4 wire RTD w/o element</t>
  </si>
  <si>
    <t>3144P RTD with 4-wire; low stress ; close</t>
  </si>
  <si>
    <t>3144P RTD with 4-wire; low stress;  extended</t>
  </si>
  <si>
    <t>3144P RTD with 4-wire; high stress ; close</t>
  </si>
  <si>
    <t>3144P RTD with 4-wire; high stress;  extended</t>
  </si>
  <si>
    <t>MTBF</t>
  </si>
  <si>
    <t>MVD 1700        option D</t>
  </si>
  <si>
    <t>MVD 1700      option A</t>
  </si>
  <si>
    <t xml:space="preserve"> MicroMotion flow      I.s. output </t>
  </si>
  <si>
    <t>MVD 2700      option A</t>
  </si>
  <si>
    <t xml:space="preserve"> MicroMotion flow  I.s. output</t>
  </si>
  <si>
    <t>MVD 2700    option D</t>
  </si>
  <si>
    <t>MVD 2700    option B &amp; C</t>
  </si>
  <si>
    <t>Vortex  8800C</t>
  </si>
  <si>
    <t>Rosemount  flow</t>
  </si>
  <si>
    <t>Rosemount Flow</t>
  </si>
  <si>
    <t>made up by Aart Pruysen</t>
  </si>
  <si>
    <t>Emerson Process Management - Europe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</si>
</sst>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E+00"/>
    <numFmt numFmtId="174" formatCode="0.000000"/>
    <numFmt numFmtId="175" formatCode="0.00000"/>
    <numFmt numFmtId="176" formatCode="0.0000"/>
    <numFmt numFmtId="177" formatCode="0.000"/>
    <numFmt numFmtId="178" formatCode="0.0"/>
  </numFmts>
  <fonts count="12">
    <font>
      <sz val="10"/>
      <name val="Arial"/>
      <family val="0"/>
    </font>
    <font>
      <b/>
      <sz val="9"/>
      <name val="Arial"/>
      <family val="2"/>
    </font>
    <font>
      <b/>
      <sz val="9"/>
      <name val="MS Mincho"/>
      <family val="3"/>
    </font>
    <font>
      <b/>
      <sz val="10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 textRotation="45" wrapText="1"/>
    </xf>
    <xf numFmtId="0" fontId="1" fillId="0" borderId="3" xfId="0" applyFont="1" applyBorder="1" applyAlignment="1">
      <alignment textRotation="45" wrapText="1"/>
    </xf>
    <xf numFmtId="0" fontId="1" fillId="0" borderId="3" xfId="0" applyFont="1" applyBorder="1" applyAlignment="1">
      <alignment horizontal="right" textRotation="45" wrapText="1"/>
    </xf>
    <xf numFmtId="0" fontId="1" fillId="0" borderId="3" xfId="0" applyFont="1" applyBorder="1" applyAlignment="1">
      <alignment textRotation="45" wrapText="1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4" xfId="19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0" fontId="4" fillId="3" borderId="6" xfId="19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2" borderId="0" xfId="0" applyFill="1" applyBorder="1" applyAlignment="1">
      <alignment/>
    </xf>
    <xf numFmtId="10" fontId="4" fillId="0" borderId="4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10" fontId="4" fillId="0" borderId="6" xfId="19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1" fontId="1" fillId="0" borderId="4" xfId="0" applyNumberFormat="1" applyFont="1" applyFill="1" applyBorder="1" applyAlignment="1">
      <alignment horizontal="center" vertical="center" wrapText="1"/>
    </xf>
    <xf numFmtId="11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vertical="center" wrapText="1"/>
    </xf>
    <xf numFmtId="11" fontId="1" fillId="0" borderId="5" xfId="0" applyNumberFormat="1" applyFont="1" applyBorder="1" applyAlignment="1">
      <alignment horizontal="center" vertical="center" wrapText="1"/>
    </xf>
    <xf numFmtId="1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textRotation="1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0" xfId="0" applyFont="1" applyAlignment="1">
      <alignment horizontal="center" textRotation="45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3" xfId="19" applyNumberFormat="1" applyFont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178" fontId="0" fillId="0" borderId="3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tabSelected="1" workbookViewId="0" topLeftCell="A1">
      <pane ySplit="6" topLeftCell="BM29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2" width="14.28125" style="0" customWidth="1"/>
    <col min="3" max="3" width="12.7109375" style="0" customWidth="1"/>
    <col min="4" max="4" width="7.8515625" style="0" customWidth="1"/>
    <col min="5" max="13" width="7.7109375" style="0" customWidth="1"/>
    <col min="15" max="15" width="7.7109375" style="0" customWidth="1"/>
    <col min="16" max="16" width="14.8515625" style="55" customWidth="1"/>
    <col min="17" max="17" width="17.140625" style="0" customWidth="1"/>
    <col min="18" max="20" width="11.421875" style="0" customWidth="1"/>
    <col min="21" max="21" width="13.00390625" style="0" customWidth="1"/>
    <col min="22" max="16384" width="11.421875" style="0" customWidth="1"/>
  </cols>
  <sheetData>
    <row r="1" spans="1:19" ht="18">
      <c r="A1" s="36" t="s">
        <v>65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68"/>
      <c r="Q1" s="2"/>
      <c r="S1" s="83" t="s">
        <v>99</v>
      </c>
    </row>
    <row r="2" spans="1:19" ht="18">
      <c r="A2" s="38" t="s">
        <v>45</v>
      </c>
      <c r="B2" s="39"/>
      <c r="C2" s="39"/>
      <c r="D2" s="39"/>
      <c r="E2" s="39"/>
      <c r="F2" s="21"/>
      <c r="G2" s="21"/>
      <c r="H2" s="21"/>
      <c r="I2" s="21"/>
      <c r="J2" s="21"/>
      <c r="K2" s="21"/>
      <c r="L2" s="21"/>
      <c r="M2" s="21"/>
      <c r="N2" s="21"/>
      <c r="O2" s="21"/>
      <c r="P2" s="69"/>
      <c r="Q2" s="2"/>
      <c r="S2" s="83" t="s">
        <v>100</v>
      </c>
    </row>
    <row r="3" spans="1:17" ht="18">
      <c r="A3" s="41" t="s">
        <v>58</v>
      </c>
      <c r="B3" s="39"/>
      <c r="C3" s="39"/>
      <c r="D3" s="39"/>
      <c r="E3" s="39"/>
      <c r="F3" s="21"/>
      <c r="G3" s="21"/>
      <c r="H3" s="21"/>
      <c r="I3" s="21"/>
      <c r="J3" s="21"/>
      <c r="K3" s="21"/>
      <c r="L3" s="21"/>
      <c r="M3" s="21"/>
      <c r="N3" s="21"/>
      <c r="O3" s="21"/>
      <c r="P3" s="69"/>
      <c r="Q3" s="2"/>
    </row>
    <row r="4" spans="1:17" ht="18">
      <c r="A4" s="42" t="s">
        <v>57</v>
      </c>
      <c r="B4" s="40"/>
      <c r="C4" s="40"/>
      <c r="D4" s="40"/>
      <c r="E4" s="40"/>
      <c r="F4" s="3"/>
      <c r="G4" s="3"/>
      <c r="H4" s="3"/>
      <c r="I4" s="3"/>
      <c r="J4" s="3"/>
      <c r="K4" s="3"/>
      <c r="L4" s="3"/>
      <c r="M4" s="3"/>
      <c r="N4" s="3"/>
      <c r="O4" s="3"/>
      <c r="P4" s="70"/>
      <c r="Q4" s="2"/>
    </row>
    <row r="5" spans="4:19" s="4" customFormat="1" ht="156.75" customHeight="1">
      <c r="D5" s="5" t="s">
        <v>0</v>
      </c>
      <c r="E5" s="5" t="s">
        <v>49</v>
      </c>
      <c r="F5" s="5" t="s">
        <v>1</v>
      </c>
      <c r="G5" s="5" t="s">
        <v>2</v>
      </c>
      <c r="H5" s="6" t="s">
        <v>19</v>
      </c>
      <c r="I5" s="6" t="s">
        <v>20</v>
      </c>
      <c r="J5" s="7" t="s">
        <v>3</v>
      </c>
      <c r="K5" s="7" t="s">
        <v>24</v>
      </c>
      <c r="L5" s="7" t="s">
        <v>22</v>
      </c>
      <c r="M5" s="7" t="s">
        <v>23</v>
      </c>
      <c r="N5" s="7" t="s">
        <v>29</v>
      </c>
      <c r="O5" s="5" t="s">
        <v>50</v>
      </c>
      <c r="P5" s="71"/>
      <c r="S5" s="53" t="s">
        <v>55</v>
      </c>
    </row>
    <row r="6" spans="1:26" s="98" customFormat="1" ht="26.25" customHeight="1">
      <c r="A6" s="92" t="s">
        <v>5</v>
      </c>
      <c r="B6" s="92" t="s">
        <v>4</v>
      </c>
      <c r="C6" s="93" t="s">
        <v>6</v>
      </c>
      <c r="D6" s="94" t="s">
        <v>7</v>
      </c>
      <c r="E6" s="94" t="s">
        <v>8</v>
      </c>
      <c r="F6" s="94" t="s">
        <v>9</v>
      </c>
      <c r="G6" s="94" t="s">
        <v>10</v>
      </c>
      <c r="H6" s="94" t="s">
        <v>11</v>
      </c>
      <c r="I6" s="94" t="s">
        <v>12</v>
      </c>
      <c r="J6" s="94" t="s">
        <v>13</v>
      </c>
      <c r="K6" s="94" t="s">
        <v>25</v>
      </c>
      <c r="L6" s="94" t="s">
        <v>26</v>
      </c>
      <c r="M6" s="94" t="s">
        <v>27</v>
      </c>
      <c r="N6" s="94" t="s">
        <v>14</v>
      </c>
      <c r="O6" s="94" t="s">
        <v>28</v>
      </c>
      <c r="P6" s="94" t="s">
        <v>88</v>
      </c>
      <c r="Q6" s="92" t="s">
        <v>72</v>
      </c>
      <c r="R6" s="84"/>
      <c r="S6" s="95" t="s">
        <v>51</v>
      </c>
      <c r="T6" s="95" t="s">
        <v>59</v>
      </c>
      <c r="U6" s="95" t="s">
        <v>52</v>
      </c>
      <c r="V6" s="96" t="s">
        <v>2</v>
      </c>
      <c r="W6" s="95" t="s">
        <v>53</v>
      </c>
      <c r="X6" s="96" t="s">
        <v>54</v>
      </c>
      <c r="Y6" s="97" t="s">
        <v>62</v>
      </c>
      <c r="Z6" s="97" t="s">
        <v>63</v>
      </c>
    </row>
    <row r="7" spans="1:27" s="2" customFormat="1" ht="38.25" customHeight="1">
      <c r="A7" s="85" t="s">
        <v>42</v>
      </c>
      <c r="B7" s="86" t="s">
        <v>30</v>
      </c>
      <c r="C7" s="87" t="s">
        <v>32</v>
      </c>
      <c r="D7" s="86">
        <v>0</v>
      </c>
      <c r="E7" s="86">
        <v>19.57</v>
      </c>
      <c r="F7" s="86">
        <v>556.65</v>
      </c>
      <c r="G7" s="86">
        <v>145.65</v>
      </c>
      <c r="H7" s="19">
        <f>F7+G7</f>
        <v>702.3</v>
      </c>
      <c r="I7" s="19">
        <f>D7+E7</f>
        <v>19.57</v>
      </c>
      <c r="J7" s="88">
        <f>(D7+E7+F7)/(D7+E7+F7+G7)</f>
        <v>0.7982323687090473</v>
      </c>
      <c r="K7" s="88">
        <f>I7/(H7+I7)</f>
        <v>0.027110144485849252</v>
      </c>
      <c r="L7" s="89">
        <f>F7/H7</f>
        <v>0.7926099957283212</v>
      </c>
      <c r="M7" s="89">
        <f>D7/(D7+E7)</f>
        <v>0</v>
      </c>
      <c r="N7" s="90">
        <f>(G7*24*365*10^-9)/2</f>
        <v>0.0006379470000000001</v>
      </c>
      <c r="O7" s="86" t="s">
        <v>31</v>
      </c>
      <c r="P7" s="86" t="str">
        <f>"MTBF  "&amp;ROUND(R7,0)&amp;" years"</f>
        <v>MTBF  163 years</v>
      </c>
      <c r="Q7" s="91">
        <f aca="true" t="shared" si="0" ref="Q7:Q19">1/N7</f>
        <v>1567.5283369935116</v>
      </c>
      <c r="R7" s="58">
        <f aca="true" t="shared" si="1" ref="R7:R24">1000000000/((D7+F7+G7)*24*365)</f>
        <v>162.54485425253102</v>
      </c>
      <c r="S7" s="99" t="s">
        <v>56</v>
      </c>
      <c r="T7" s="99"/>
      <c r="U7" s="59"/>
      <c r="V7" s="59"/>
      <c r="W7" s="59"/>
      <c r="X7" s="59"/>
      <c r="AA7" s="2" t="str">
        <f aca="true" t="shared" si="2" ref="AA7:AA16">B7</f>
        <v>3051C</v>
      </c>
    </row>
    <row r="8" spans="1:27" s="26" customFormat="1" ht="38.25" customHeight="1">
      <c r="A8" s="85" t="s">
        <v>42</v>
      </c>
      <c r="B8" s="86" t="s">
        <v>60</v>
      </c>
      <c r="C8" s="87" t="s">
        <v>61</v>
      </c>
      <c r="D8" s="86">
        <v>0</v>
      </c>
      <c r="E8" s="86">
        <f>W8+X8</f>
        <v>213</v>
      </c>
      <c r="F8" s="86">
        <f>S8+T8+U8+Y8</f>
        <v>330</v>
      </c>
      <c r="G8" s="86">
        <f>V8+Z8</f>
        <v>116</v>
      </c>
      <c r="H8" s="19">
        <f>F8+G8</f>
        <v>446</v>
      </c>
      <c r="I8" s="19">
        <f>D8+E8</f>
        <v>213</v>
      </c>
      <c r="J8" s="88">
        <f>(D8+E8+F8)/(D8+E8+F8+G8)</f>
        <v>0.8239757207890743</v>
      </c>
      <c r="K8" s="88">
        <f>I8/(H8+I8)</f>
        <v>0.3232169954476479</v>
      </c>
      <c r="L8" s="89">
        <f>F8/H8</f>
        <v>0.7399103139013453</v>
      </c>
      <c r="M8" s="89">
        <f>D8/(D8+E8)</f>
        <v>0</v>
      </c>
      <c r="N8" s="90">
        <f>(G8*24*365*10^-9)/2</f>
        <v>0.0005080800000000001</v>
      </c>
      <c r="O8" s="86" t="s">
        <v>31</v>
      </c>
      <c r="P8" s="86" t="str">
        <f>"MTBF  "&amp;ROUND(R8,0)&amp;" years"</f>
        <v>MTBF  256 years</v>
      </c>
      <c r="Q8" s="91">
        <f t="shared" si="0"/>
        <v>1968.193985199181</v>
      </c>
      <c r="R8" s="57">
        <f t="shared" si="1"/>
        <v>255.95347789585765</v>
      </c>
      <c r="S8" s="54">
        <v>44</v>
      </c>
      <c r="T8" s="54">
        <v>258</v>
      </c>
      <c r="U8" s="54">
        <v>28</v>
      </c>
      <c r="V8" s="54">
        <v>116</v>
      </c>
      <c r="W8" s="54">
        <v>200</v>
      </c>
      <c r="X8" s="54">
        <v>13</v>
      </c>
      <c r="AA8" s="26" t="str">
        <f t="shared" si="2"/>
        <v>3051T</v>
      </c>
    </row>
    <row r="9" spans="1:27" s="26" customFormat="1" ht="36.75" customHeight="1">
      <c r="A9" s="28" t="s">
        <v>42</v>
      </c>
      <c r="B9" s="27" t="s">
        <v>35</v>
      </c>
      <c r="C9" s="34" t="s">
        <v>33</v>
      </c>
      <c r="D9" s="27">
        <v>0</v>
      </c>
      <c r="E9" s="27">
        <f>W9+X9</f>
        <v>221</v>
      </c>
      <c r="F9" s="27">
        <f>S9+T9+U9+Y9</f>
        <v>283</v>
      </c>
      <c r="G9" s="27">
        <f>V9+Z9</f>
        <v>101</v>
      </c>
      <c r="H9" s="9">
        <f>F9+G9</f>
        <v>384</v>
      </c>
      <c r="I9" s="9">
        <f>D9+E9</f>
        <v>221</v>
      </c>
      <c r="J9" s="22">
        <f>(D9+E9+F9)/(D9+E9+F9+G9)</f>
        <v>0.8330578512396695</v>
      </c>
      <c r="K9" s="22">
        <f>I9/(H9+I9)</f>
        <v>0.3652892561983471</v>
      </c>
      <c r="L9" s="10">
        <f>F9/H9</f>
        <v>0.7369791666666666</v>
      </c>
      <c r="M9" s="10">
        <f>D9/(D9+E9)</f>
        <v>0</v>
      </c>
      <c r="N9" s="43">
        <f>(G9*24*365*10^-9)/2</f>
        <v>0.00044238000000000003</v>
      </c>
      <c r="O9" s="27" t="s">
        <v>31</v>
      </c>
      <c r="P9" s="27" t="str">
        <f>"MTBF  "&amp;ROUND(R9,0)&amp;" years"</f>
        <v>MTBF  297 years</v>
      </c>
      <c r="Q9" s="60">
        <f t="shared" si="0"/>
        <v>2260.500022605</v>
      </c>
      <c r="R9" s="57">
        <f t="shared" si="1"/>
        <v>297.279299847793</v>
      </c>
      <c r="S9" s="54">
        <v>55</v>
      </c>
      <c r="T9" s="54">
        <v>28</v>
      </c>
      <c r="U9" s="54">
        <v>200</v>
      </c>
      <c r="V9" s="54">
        <v>101</v>
      </c>
      <c r="W9" s="54">
        <v>192</v>
      </c>
      <c r="X9" s="54">
        <v>29</v>
      </c>
      <c r="AA9" s="26" t="str">
        <f t="shared" si="2"/>
        <v>3051S Coplanar</v>
      </c>
    </row>
    <row r="10" spans="1:27" s="26" customFormat="1" ht="34.5" customHeight="1">
      <c r="A10" s="28" t="s">
        <v>42</v>
      </c>
      <c r="B10" s="34" t="s">
        <v>34</v>
      </c>
      <c r="C10" s="34" t="s">
        <v>33</v>
      </c>
      <c r="D10" s="27">
        <v>0</v>
      </c>
      <c r="E10" s="27">
        <f>W10+X10</f>
        <v>213</v>
      </c>
      <c r="F10" s="27">
        <f>S10+T10+U10+Y10</f>
        <v>259</v>
      </c>
      <c r="G10" s="27">
        <f>V10+Z10</f>
        <v>83</v>
      </c>
      <c r="H10" s="9">
        <f>F10+G10</f>
        <v>342</v>
      </c>
      <c r="I10" s="9">
        <f>D10+E10</f>
        <v>213</v>
      </c>
      <c r="J10" s="22">
        <f>(D10+E10+F10)/(D10+E10+F10+G10)</f>
        <v>0.8504504504504504</v>
      </c>
      <c r="K10" s="22">
        <f>I10/(H10+I10)</f>
        <v>0.3837837837837838</v>
      </c>
      <c r="L10" s="10">
        <f>F10/H10</f>
        <v>0.7573099415204678</v>
      </c>
      <c r="M10" s="10">
        <f>D10/(D10+E10)</f>
        <v>0</v>
      </c>
      <c r="N10" s="43">
        <f>(G10*24*365*10^-9)/2</f>
        <v>0.00036354000000000003</v>
      </c>
      <c r="O10" s="27" t="s">
        <v>31</v>
      </c>
      <c r="P10" s="27" t="str">
        <f>"MTBF  "&amp;ROUND(R10,0)&amp;" years"</f>
        <v>MTBF  334 years</v>
      </c>
      <c r="Q10" s="60">
        <f t="shared" si="0"/>
        <v>2750.7289431699396</v>
      </c>
      <c r="R10" s="57">
        <f t="shared" si="1"/>
        <v>333.78728403962725</v>
      </c>
      <c r="S10" s="54">
        <v>55</v>
      </c>
      <c r="T10" s="54">
        <v>28</v>
      </c>
      <c r="U10" s="54">
        <v>176</v>
      </c>
      <c r="V10" s="54">
        <v>83</v>
      </c>
      <c r="W10" s="54">
        <v>199</v>
      </c>
      <c r="X10" s="54">
        <v>14</v>
      </c>
      <c r="AA10" s="26" t="str">
        <f t="shared" si="2"/>
        <v>3051S In-line</v>
      </c>
    </row>
    <row r="11" spans="1:27" s="2" customFormat="1" ht="12" customHeight="1">
      <c r="A11" s="32"/>
      <c r="C11" s="35"/>
      <c r="D11" s="33"/>
      <c r="E11" s="33"/>
      <c r="F11" s="33"/>
      <c r="G11" s="33"/>
      <c r="H11" s="31"/>
      <c r="I11" s="31"/>
      <c r="J11" s="23"/>
      <c r="K11" s="23"/>
      <c r="L11" s="25"/>
      <c r="M11" s="25"/>
      <c r="N11" s="44"/>
      <c r="O11" s="33"/>
      <c r="P11" s="33"/>
      <c r="Q11" s="61"/>
      <c r="R11" s="57"/>
      <c r="S11" s="59"/>
      <c r="T11" s="59"/>
      <c r="U11" s="59"/>
      <c r="V11" s="59"/>
      <c r="W11" s="59"/>
      <c r="X11" s="59"/>
      <c r="AA11" s="26"/>
    </row>
    <row r="12" spans="1:27" s="26" customFormat="1" ht="34.5" customHeight="1">
      <c r="A12" s="28" t="s">
        <v>41</v>
      </c>
      <c r="B12" s="34" t="s">
        <v>36</v>
      </c>
      <c r="C12" s="34" t="s">
        <v>38</v>
      </c>
      <c r="D12" s="27">
        <v>0</v>
      </c>
      <c r="E12" s="27">
        <f aca="true" t="shared" si="3" ref="E12:E17">W12+X12</f>
        <v>110</v>
      </c>
      <c r="F12" s="27">
        <f aca="true" t="shared" si="4" ref="F12:F17">S12+T12+U12+Y12</f>
        <v>323</v>
      </c>
      <c r="G12" s="27">
        <f aca="true" t="shared" si="5" ref="G12:G17">V12+Z12</f>
        <v>72</v>
      </c>
      <c r="H12" s="9">
        <f aca="true" t="shared" si="6" ref="H12:H17">F12+G12</f>
        <v>395</v>
      </c>
      <c r="I12" s="9">
        <f aca="true" t="shared" si="7" ref="I12:I17">D12+E12</f>
        <v>110</v>
      </c>
      <c r="J12" s="22">
        <f aca="true" t="shared" si="8" ref="J12:J17">(D12+E12+F12)/(D12+E12+F12+G12)</f>
        <v>0.8574257425742574</v>
      </c>
      <c r="K12" s="22">
        <f aca="true" t="shared" si="9" ref="K12:K17">I12/(H12+I12)</f>
        <v>0.21782178217821782</v>
      </c>
      <c r="L12" s="10">
        <f aca="true" t="shared" si="10" ref="L12:L17">F12/H12</f>
        <v>0.8177215189873418</v>
      </c>
      <c r="M12" s="10">
        <f aca="true" t="shared" si="11" ref="M12:M17">D12/(D12+E12)</f>
        <v>0</v>
      </c>
      <c r="N12" s="43">
        <f aca="true" t="shared" si="12" ref="N12:N17">(G12*24*365*10^-9)/2</f>
        <v>0.00031536000000000004</v>
      </c>
      <c r="O12" s="27" t="s">
        <v>31</v>
      </c>
      <c r="P12" s="27" t="str">
        <f aca="true" t="shared" si="13" ref="P12:P17">"MTBF  "&amp;ROUND(R12,0)&amp;" years"</f>
        <v>MTBF  289 years</v>
      </c>
      <c r="Q12" s="60">
        <f t="shared" si="0"/>
        <v>3170.979198376458</v>
      </c>
      <c r="R12" s="57">
        <f t="shared" si="1"/>
        <v>289.00063580139874</v>
      </c>
      <c r="S12" s="54">
        <v>26</v>
      </c>
      <c r="T12" s="54">
        <v>274</v>
      </c>
      <c r="U12" s="54">
        <v>23</v>
      </c>
      <c r="V12" s="54">
        <v>72</v>
      </c>
      <c r="W12" s="54">
        <v>101</v>
      </c>
      <c r="X12" s="54">
        <v>9</v>
      </c>
      <c r="AA12" s="26" t="str">
        <f t="shared" si="2"/>
        <v>644H T/C    w/o element</v>
      </c>
    </row>
    <row r="13" spans="1:27" s="26" customFormat="1" ht="34.5" customHeight="1">
      <c r="A13" s="28" t="s">
        <v>41</v>
      </c>
      <c r="B13" s="34" t="s">
        <v>64</v>
      </c>
      <c r="C13" s="34" t="s">
        <v>38</v>
      </c>
      <c r="D13" s="27">
        <v>0</v>
      </c>
      <c r="E13" s="27">
        <f t="shared" si="3"/>
        <v>110</v>
      </c>
      <c r="F13" s="27">
        <f t="shared" si="4"/>
        <v>5073</v>
      </c>
      <c r="G13" s="27">
        <f t="shared" si="5"/>
        <v>322</v>
      </c>
      <c r="H13" s="9">
        <f t="shared" si="6"/>
        <v>5395</v>
      </c>
      <c r="I13" s="9">
        <f t="shared" si="7"/>
        <v>110</v>
      </c>
      <c r="J13" s="22">
        <f t="shared" si="8"/>
        <v>0.9415077202543143</v>
      </c>
      <c r="K13" s="22">
        <f t="shared" si="9"/>
        <v>0.019981834695731154</v>
      </c>
      <c r="L13" s="10">
        <f t="shared" si="10"/>
        <v>0.9403151065801668</v>
      </c>
      <c r="M13" s="10">
        <f t="shared" si="11"/>
        <v>0</v>
      </c>
      <c r="N13" s="43">
        <f t="shared" si="12"/>
        <v>0.00141036</v>
      </c>
      <c r="O13" s="27" t="s">
        <v>16</v>
      </c>
      <c r="P13" s="27" t="str">
        <f t="shared" si="13"/>
        <v>MTBF  21 years</v>
      </c>
      <c r="Q13" s="60">
        <f t="shared" si="0"/>
        <v>709.0388269661646</v>
      </c>
      <c r="R13" s="57">
        <f t="shared" si="1"/>
        <v>21.15945340899954</v>
      </c>
      <c r="S13" s="54">
        <v>26</v>
      </c>
      <c r="T13" s="54">
        <v>274</v>
      </c>
      <c r="U13" s="54">
        <v>23</v>
      </c>
      <c r="V13" s="54">
        <v>72</v>
      </c>
      <c r="W13" s="54">
        <v>101</v>
      </c>
      <c r="X13" s="54">
        <v>9</v>
      </c>
      <c r="Y13" s="54">
        <v>4750</v>
      </c>
      <c r="Z13" s="54">
        <v>250</v>
      </c>
      <c r="AA13" s="26" t="str">
        <f t="shared" si="2"/>
        <v>644H T/C with low stress T/C</v>
      </c>
    </row>
    <row r="14" spans="1:27" s="26" customFormat="1" ht="34.5" customHeight="1">
      <c r="A14" s="28" t="s">
        <v>41</v>
      </c>
      <c r="B14" s="34" t="s">
        <v>66</v>
      </c>
      <c r="C14" s="34" t="s">
        <v>38</v>
      </c>
      <c r="D14" s="27">
        <v>0</v>
      </c>
      <c r="E14" s="27">
        <f t="shared" si="3"/>
        <v>110</v>
      </c>
      <c r="F14" s="27">
        <f t="shared" si="4"/>
        <v>19323</v>
      </c>
      <c r="G14" s="27">
        <f t="shared" si="5"/>
        <v>1072</v>
      </c>
      <c r="H14" s="9">
        <f t="shared" si="6"/>
        <v>20395</v>
      </c>
      <c r="I14" s="9">
        <f t="shared" si="7"/>
        <v>110</v>
      </c>
      <c r="J14" s="22">
        <f t="shared" si="8"/>
        <v>0.9477200682760303</v>
      </c>
      <c r="K14" s="22">
        <f t="shared" si="9"/>
        <v>0.0053645452328700315</v>
      </c>
      <c r="L14" s="10">
        <f t="shared" si="10"/>
        <v>0.9474380975729345</v>
      </c>
      <c r="M14" s="10">
        <f t="shared" si="11"/>
        <v>0</v>
      </c>
      <c r="N14" s="43">
        <f t="shared" si="12"/>
        <v>0.00469536</v>
      </c>
      <c r="O14" s="27" t="s">
        <v>16</v>
      </c>
      <c r="P14" s="27" t="str">
        <f t="shared" si="13"/>
        <v>MTBF  6 years</v>
      </c>
      <c r="Q14" s="60">
        <f t="shared" si="0"/>
        <v>212.9762148163293</v>
      </c>
      <c r="R14" s="57">
        <f t="shared" si="1"/>
        <v>5.597217511230817</v>
      </c>
      <c r="S14" s="54">
        <v>26</v>
      </c>
      <c r="T14" s="54">
        <v>274</v>
      </c>
      <c r="U14" s="54">
        <v>23</v>
      </c>
      <c r="V14" s="54">
        <v>72</v>
      </c>
      <c r="W14" s="54">
        <v>101</v>
      </c>
      <c r="X14" s="54">
        <v>9</v>
      </c>
      <c r="Y14" s="54">
        <v>19000</v>
      </c>
      <c r="Z14" s="54">
        <v>1000</v>
      </c>
      <c r="AA14" s="26" t="str">
        <f t="shared" si="2"/>
        <v>644H T/C with high stress T/C</v>
      </c>
    </row>
    <row r="15" spans="1:27" s="26" customFormat="1" ht="34.5" customHeight="1">
      <c r="A15" s="28" t="s">
        <v>41</v>
      </c>
      <c r="B15" s="34" t="s">
        <v>37</v>
      </c>
      <c r="C15" s="34" t="s">
        <v>38</v>
      </c>
      <c r="D15" s="27">
        <v>0</v>
      </c>
      <c r="E15" s="27">
        <f t="shared" si="3"/>
        <v>114</v>
      </c>
      <c r="F15" s="27">
        <f t="shared" si="4"/>
        <v>316</v>
      </c>
      <c r="G15" s="27">
        <f t="shared" si="5"/>
        <v>70</v>
      </c>
      <c r="H15" s="9">
        <f t="shared" si="6"/>
        <v>386</v>
      </c>
      <c r="I15" s="9">
        <f t="shared" si="7"/>
        <v>114</v>
      </c>
      <c r="J15" s="22">
        <f t="shared" si="8"/>
        <v>0.86</v>
      </c>
      <c r="K15" s="22">
        <f t="shared" si="9"/>
        <v>0.228</v>
      </c>
      <c r="L15" s="10">
        <f t="shared" si="10"/>
        <v>0.8186528497409327</v>
      </c>
      <c r="M15" s="10">
        <f t="shared" si="11"/>
        <v>0</v>
      </c>
      <c r="N15" s="43">
        <f t="shared" si="12"/>
        <v>0.0003066</v>
      </c>
      <c r="O15" s="27" t="s">
        <v>31</v>
      </c>
      <c r="P15" s="27" t="str">
        <f t="shared" si="13"/>
        <v>MTBF  296 years</v>
      </c>
      <c r="Q15" s="60">
        <f t="shared" si="0"/>
        <v>3261.5786040443572</v>
      </c>
      <c r="R15" s="57">
        <f t="shared" si="1"/>
        <v>295.7389925946956</v>
      </c>
      <c r="S15" s="54">
        <v>26</v>
      </c>
      <c r="T15" s="54">
        <v>267</v>
      </c>
      <c r="U15" s="54">
        <v>23</v>
      </c>
      <c r="V15" s="54">
        <v>70</v>
      </c>
      <c r="W15" s="54">
        <v>105</v>
      </c>
      <c r="X15" s="54">
        <v>9</v>
      </c>
      <c r="Y15" s="54"/>
      <c r="Z15" s="54"/>
      <c r="AA15" s="26" t="str">
        <f t="shared" si="2"/>
        <v>644H RTD    w/o element</v>
      </c>
    </row>
    <row r="16" spans="1:27" s="26" customFormat="1" ht="34.5" customHeight="1">
      <c r="A16" s="28" t="s">
        <v>41</v>
      </c>
      <c r="B16" s="34" t="s">
        <v>67</v>
      </c>
      <c r="C16" s="34" t="s">
        <v>38</v>
      </c>
      <c r="D16" s="27">
        <v>0</v>
      </c>
      <c r="E16" s="27">
        <f t="shared" si="3"/>
        <v>114</v>
      </c>
      <c r="F16" s="27">
        <f t="shared" si="4"/>
        <v>2296</v>
      </c>
      <c r="G16" s="27">
        <f t="shared" si="5"/>
        <v>90</v>
      </c>
      <c r="H16" s="9">
        <f t="shared" si="6"/>
        <v>2386</v>
      </c>
      <c r="I16" s="9">
        <f t="shared" si="7"/>
        <v>114</v>
      </c>
      <c r="J16" s="22">
        <f t="shared" si="8"/>
        <v>0.964</v>
      </c>
      <c r="K16" s="22">
        <f t="shared" si="9"/>
        <v>0.0456</v>
      </c>
      <c r="L16" s="10">
        <f t="shared" si="10"/>
        <v>0.9622799664710813</v>
      </c>
      <c r="M16" s="10">
        <f t="shared" si="11"/>
        <v>0</v>
      </c>
      <c r="N16" s="43">
        <f t="shared" si="12"/>
        <v>0.00039420000000000004</v>
      </c>
      <c r="O16" s="27" t="s">
        <v>31</v>
      </c>
      <c r="P16" s="27" t="str">
        <f t="shared" si="13"/>
        <v>MTBF  48 years</v>
      </c>
      <c r="Q16" s="60">
        <f t="shared" si="0"/>
        <v>2536.7833587011664</v>
      </c>
      <c r="R16" s="57">
        <f t="shared" si="1"/>
        <v>47.8437766729055</v>
      </c>
      <c r="S16" s="54">
        <v>26</v>
      </c>
      <c r="T16" s="54">
        <v>267</v>
      </c>
      <c r="U16" s="54">
        <v>23</v>
      </c>
      <c r="V16" s="54">
        <v>70</v>
      </c>
      <c r="W16" s="54">
        <v>105</v>
      </c>
      <c r="X16" s="54">
        <v>9</v>
      </c>
      <c r="Y16" s="54">
        <v>1980</v>
      </c>
      <c r="Z16" s="54">
        <v>20</v>
      </c>
      <c r="AA16" s="26" t="str">
        <f t="shared" si="2"/>
        <v>644H R with low stress RTD</v>
      </c>
    </row>
    <row r="17" spans="1:27" s="26" customFormat="1" ht="34.5" customHeight="1">
      <c r="A17" s="28" t="s">
        <v>41</v>
      </c>
      <c r="B17" s="34" t="s">
        <v>68</v>
      </c>
      <c r="C17" s="34" t="s">
        <v>38</v>
      </c>
      <c r="D17" s="33">
        <v>0</v>
      </c>
      <c r="E17" s="27">
        <f t="shared" si="3"/>
        <v>114</v>
      </c>
      <c r="F17" s="27">
        <f t="shared" si="4"/>
        <v>8236</v>
      </c>
      <c r="G17" s="27">
        <f t="shared" si="5"/>
        <v>150</v>
      </c>
      <c r="H17" s="9">
        <f t="shared" si="6"/>
        <v>8386</v>
      </c>
      <c r="I17" s="9">
        <f t="shared" si="7"/>
        <v>114</v>
      </c>
      <c r="J17" s="22">
        <f t="shared" si="8"/>
        <v>0.9823529411764705</v>
      </c>
      <c r="K17" s="22">
        <f t="shared" si="9"/>
        <v>0.013411764705882352</v>
      </c>
      <c r="L17" s="10">
        <f t="shared" si="10"/>
        <v>0.9821130455521107</v>
      </c>
      <c r="M17" s="10">
        <f t="shared" si="11"/>
        <v>0</v>
      </c>
      <c r="N17" s="43">
        <f t="shared" si="12"/>
        <v>0.000657</v>
      </c>
      <c r="O17" s="33" t="s">
        <v>31</v>
      </c>
      <c r="P17" s="27" t="str">
        <f t="shared" si="13"/>
        <v>MTBF  14 years</v>
      </c>
      <c r="Q17" s="60">
        <f t="shared" si="0"/>
        <v>1522.0700152207</v>
      </c>
      <c r="R17" s="57">
        <f t="shared" si="1"/>
        <v>13.612598514375449</v>
      </c>
      <c r="S17" s="54">
        <v>26</v>
      </c>
      <c r="T17" s="54">
        <v>267</v>
      </c>
      <c r="U17" s="54">
        <v>23</v>
      </c>
      <c r="V17" s="54">
        <v>70</v>
      </c>
      <c r="W17" s="54">
        <v>105</v>
      </c>
      <c r="X17" s="54">
        <v>9</v>
      </c>
      <c r="Y17" s="54">
        <v>7920</v>
      </c>
      <c r="Z17" s="54">
        <v>80</v>
      </c>
      <c r="AA17" s="26" t="str">
        <f>B17</f>
        <v>644H R with high stress RTD</v>
      </c>
    </row>
    <row r="18" spans="1:27" s="2" customFormat="1" ht="13.5" customHeight="1">
      <c r="A18" s="32"/>
      <c r="B18" s="35"/>
      <c r="C18" s="35"/>
      <c r="D18" s="33"/>
      <c r="E18" s="33"/>
      <c r="F18" s="33"/>
      <c r="G18" s="33"/>
      <c r="H18" s="31"/>
      <c r="I18" s="31"/>
      <c r="J18" s="23"/>
      <c r="K18" s="23"/>
      <c r="L18" s="25"/>
      <c r="M18" s="25"/>
      <c r="N18" s="44"/>
      <c r="O18" s="33"/>
      <c r="P18" s="33"/>
      <c r="Q18" s="61"/>
      <c r="R18" s="57"/>
      <c r="S18" s="59"/>
      <c r="T18" s="59"/>
      <c r="U18" s="59"/>
      <c r="V18" s="59"/>
      <c r="W18" s="59"/>
      <c r="X18" s="59"/>
      <c r="Y18" s="59"/>
      <c r="Z18" s="59"/>
      <c r="AA18" s="26">
        <f aca="true" t="shared" si="14" ref="AA18:AA98">B18</f>
        <v>0</v>
      </c>
    </row>
    <row r="19" spans="1:27" s="26" customFormat="1" ht="34.5" customHeight="1">
      <c r="A19" s="28" t="s">
        <v>41</v>
      </c>
      <c r="B19" s="34" t="s">
        <v>39</v>
      </c>
      <c r="C19" s="34" t="s">
        <v>40</v>
      </c>
      <c r="D19" s="27">
        <v>0</v>
      </c>
      <c r="E19" s="27">
        <f>W19+X19</f>
        <v>336.7</v>
      </c>
      <c r="F19" s="27">
        <f>S19+T19+U19+Y19</f>
        <v>377.01000000000005</v>
      </c>
      <c r="G19" s="27">
        <f>V19+Z19</f>
        <v>79.29</v>
      </c>
      <c r="H19" s="9">
        <f>F19+G19</f>
        <v>456.30000000000007</v>
      </c>
      <c r="I19" s="9">
        <f>D19+E19</f>
        <v>336.7</v>
      </c>
      <c r="J19" s="22">
        <f>(D19+E19+F19)/(D19+E19+F19+G19)</f>
        <v>0.9000126103404792</v>
      </c>
      <c r="K19" s="22">
        <f>I19/(H19+I19)</f>
        <v>0.4245901639344262</v>
      </c>
      <c r="L19" s="10">
        <f>F19/H19</f>
        <v>0.8262327416173569</v>
      </c>
      <c r="M19" s="10">
        <f>D19/(D19+E19)</f>
        <v>0</v>
      </c>
      <c r="N19" s="43">
        <f>(G19*24*365*10^-9)/2</f>
        <v>0.00034729020000000006</v>
      </c>
      <c r="O19" s="27" t="s">
        <v>31</v>
      </c>
      <c r="P19" s="27" t="str">
        <f>"MTBF  "&amp;ROUND(R19,0)&amp;" years"</f>
        <v>MTBF  250 years</v>
      </c>
      <c r="Q19" s="60">
        <f t="shared" si="0"/>
        <v>2879.4362754837302</v>
      </c>
      <c r="R19" s="57">
        <f t="shared" si="1"/>
        <v>250.17587363916832</v>
      </c>
      <c r="S19" s="54">
        <v>32.85</v>
      </c>
      <c r="T19" s="54">
        <v>30</v>
      </c>
      <c r="U19" s="54">
        <v>314.16</v>
      </c>
      <c r="V19" s="54">
        <v>79.29</v>
      </c>
      <c r="W19" s="54">
        <v>327.9</v>
      </c>
      <c r="X19" s="54">
        <v>8.8</v>
      </c>
      <c r="Y19" s="54"/>
      <c r="Z19" s="54"/>
      <c r="AA19" s="26" t="str">
        <f t="shared" si="14"/>
        <v>3144P T/C    w/o element</v>
      </c>
    </row>
    <row r="20" spans="1:27" s="26" customFormat="1" ht="34.5" customHeight="1">
      <c r="A20" s="28" t="s">
        <v>41</v>
      </c>
      <c r="B20" s="34" t="s">
        <v>69</v>
      </c>
      <c r="C20" s="34" t="s">
        <v>40</v>
      </c>
      <c r="D20" s="27">
        <v>0</v>
      </c>
      <c r="E20" s="27">
        <f>W20+X20</f>
        <v>336.7</v>
      </c>
      <c r="F20" s="27">
        <f>S20+T20+U20+Y20</f>
        <v>5127.01</v>
      </c>
      <c r="G20" s="27">
        <f>V20+Z20</f>
        <v>329.29</v>
      </c>
      <c r="H20" s="9">
        <f>F20+G20</f>
        <v>5456.3</v>
      </c>
      <c r="I20" s="9">
        <f>D20+E20</f>
        <v>336.7</v>
      </c>
      <c r="J20" s="22">
        <f>(D20+E20+F20)/(D20+E20+F20+G20)</f>
        <v>0.9431572587605731</v>
      </c>
      <c r="K20" s="22">
        <f>I20/(H20+I20)</f>
        <v>0.0581218712238909</v>
      </c>
      <c r="L20" s="10">
        <f>F20/H20</f>
        <v>0.9396495793852977</v>
      </c>
      <c r="M20" s="10">
        <f>D20/(D20+E20)</f>
        <v>0</v>
      </c>
      <c r="N20" s="43">
        <f>(G20*24*365*10^-9)/2</f>
        <v>0.0014422902000000002</v>
      </c>
      <c r="O20" s="27" t="s">
        <v>16</v>
      </c>
      <c r="P20" s="27" t="str">
        <f>"MTBF  "&amp;ROUND(R20,0)&amp;" years"</f>
        <v>MTBF  21 years</v>
      </c>
      <c r="Q20" s="60">
        <f>1/N20</f>
        <v>693.3417421819825</v>
      </c>
      <c r="R20" s="57">
        <f t="shared" si="1"/>
        <v>20.92173288520655</v>
      </c>
      <c r="S20" s="54">
        <v>32.85</v>
      </c>
      <c r="T20" s="54">
        <v>30</v>
      </c>
      <c r="U20" s="54">
        <v>314.16</v>
      </c>
      <c r="V20" s="54">
        <v>79.29</v>
      </c>
      <c r="W20" s="54">
        <v>327.9</v>
      </c>
      <c r="X20" s="54">
        <v>8.8</v>
      </c>
      <c r="Y20" s="54">
        <v>4750</v>
      </c>
      <c r="Z20" s="54">
        <v>250</v>
      </c>
      <c r="AA20" s="26" t="str">
        <f t="shared" si="14"/>
        <v>3144P with low stress T/C</v>
      </c>
    </row>
    <row r="21" spans="1:27" s="26" customFormat="1" ht="34.5" customHeight="1">
      <c r="A21" s="28" t="s">
        <v>41</v>
      </c>
      <c r="B21" s="34" t="s">
        <v>70</v>
      </c>
      <c r="C21" s="34" t="s">
        <v>40</v>
      </c>
      <c r="D21" s="27">
        <v>0</v>
      </c>
      <c r="E21" s="27">
        <f>W21+X21</f>
        <v>336.7</v>
      </c>
      <c r="F21" s="27">
        <f>S21+T21+U21+Y21</f>
        <v>19377.01</v>
      </c>
      <c r="G21" s="27">
        <f>V21+Z21</f>
        <v>1079.29</v>
      </c>
      <c r="H21" s="9">
        <f>F21+G21</f>
        <v>20456.3</v>
      </c>
      <c r="I21" s="9">
        <f>D21+E21</f>
        <v>336.7</v>
      </c>
      <c r="J21" s="22">
        <f>(D21+E21+F21)/(D21+E21+F21+G21)</f>
        <v>0.9480935891886693</v>
      </c>
      <c r="K21" s="22">
        <f>I21/(H21+I21)</f>
        <v>0.016192949550329436</v>
      </c>
      <c r="L21" s="10">
        <f>F21/H21</f>
        <v>0.9472392368121312</v>
      </c>
      <c r="M21" s="10">
        <f>D21/(D21+E21)</f>
        <v>0</v>
      </c>
      <c r="N21" s="43">
        <f>(G21*24*365*10^-9)/2</f>
        <v>0.0047272902</v>
      </c>
      <c r="O21" s="27" t="s">
        <v>31</v>
      </c>
      <c r="P21" s="27" t="str">
        <f>"MTBF  "&amp;ROUND(R21,0)&amp;" years"</f>
        <v>MTBF  6 years</v>
      </c>
      <c r="Q21" s="60">
        <f>1/N21</f>
        <v>211.53767966265323</v>
      </c>
      <c r="R21" s="57">
        <f t="shared" si="1"/>
        <v>5.580444710996247</v>
      </c>
      <c r="S21" s="54">
        <v>32.85</v>
      </c>
      <c r="T21" s="54">
        <v>30</v>
      </c>
      <c r="U21" s="54">
        <v>314.16</v>
      </c>
      <c r="V21" s="54">
        <v>79.29</v>
      </c>
      <c r="W21" s="54">
        <v>327.9</v>
      </c>
      <c r="X21" s="54">
        <v>8.8</v>
      </c>
      <c r="Y21" s="54">
        <v>19000</v>
      </c>
      <c r="Z21" s="54">
        <v>1000</v>
      </c>
      <c r="AA21" s="26" t="str">
        <f t="shared" si="14"/>
        <v>3144P with high stress T/C</v>
      </c>
    </row>
    <row r="22" spans="1:26" s="26" customFormat="1" ht="15.75" customHeight="1">
      <c r="A22" s="28"/>
      <c r="B22" s="34"/>
      <c r="C22" s="34"/>
      <c r="D22" s="27"/>
      <c r="E22" s="27"/>
      <c r="F22" s="27"/>
      <c r="G22" s="27"/>
      <c r="H22" s="9"/>
      <c r="I22" s="9"/>
      <c r="J22" s="22"/>
      <c r="K22" s="22"/>
      <c r="L22" s="10"/>
      <c r="M22" s="10"/>
      <c r="N22" s="43"/>
      <c r="O22" s="27"/>
      <c r="P22" s="27"/>
      <c r="Q22" s="61"/>
      <c r="R22" s="57"/>
      <c r="S22" s="54"/>
      <c r="T22" s="54"/>
      <c r="U22" s="54"/>
      <c r="V22" s="54"/>
      <c r="W22" s="54"/>
      <c r="X22" s="54"/>
      <c r="Y22" s="54"/>
      <c r="Z22" s="54"/>
    </row>
    <row r="23" spans="1:27" s="26" customFormat="1" ht="34.5" customHeight="1">
      <c r="A23" s="28" t="s">
        <v>41</v>
      </c>
      <c r="B23" s="34" t="s">
        <v>71</v>
      </c>
      <c r="C23" s="34" t="s">
        <v>40</v>
      </c>
      <c r="D23" s="27">
        <v>0</v>
      </c>
      <c r="E23" s="27">
        <f>W23+X23</f>
        <v>345.7</v>
      </c>
      <c r="F23" s="27">
        <f>S23+T23+U23+Y23</f>
        <v>363.01000000000005</v>
      </c>
      <c r="G23" s="27">
        <f>V23+Z23</f>
        <v>74.29</v>
      </c>
      <c r="H23" s="9">
        <f>F23+G23</f>
        <v>437.30000000000007</v>
      </c>
      <c r="I23" s="9">
        <f>D23+E23</f>
        <v>345.7</v>
      </c>
      <c r="J23" s="22">
        <f>(D23+E23+F23)/(D23+E23+F23+G23)</f>
        <v>0.9051213282247765</v>
      </c>
      <c r="K23" s="22">
        <f>I23/(H23+I23)</f>
        <v>0.4415070242656449</v>
      </c>
      <c r="L23" s="10">
        <f>F23/H23</f>
        <v>0.8301166247427395</v>
      </c>
      <c r="M23" s="10">
        <f>D23/(D23+E23)</f>
        <v>0</v>
      </c>
      <c r="N23" s="43">
        <f>(G23*24*365*10^-9)/2</f>
        <v>0.0003253902</v>
      </c>
      <c r="O23" s="27" t="s">
        <v>31</v>
      </c>
      <c r="P23" s="27" t="str">
        <f>"MTBF  "&amp;ROUND(R23,0)&amp;" years"</f>
        <v>MTBF  261 years</v>
      </c>
      <c r="Q23" s="60">
        <f>1/N23</f>
        <v>3073.233305735698</v>
      </c>
      <c r="R23" s="57">
        <f t="shared" si="1"/>
        <v>261.0456234657043</v>
      </c>
      <c r="S23" s="54">
        <v>32.85</v>
      </c>
      <c r="T23" s="54">
        <v>30</v>
      </c>
      <c r="U23" s="54">
        <v>300.16</v>
      </c>
      <c r="V23" s="54">
        <v>74.29</v>
      </c>
      <c r="W23" s="54">
        <v>336.9</v>
      </c>
      <c r="X23" s="54">
        <v>8.8</v>
      </c>
      <c r="Y23" s="54"/>
      <c r="Z23" s="54"/>
      <c r="AA23" s="26" t="str">
        <f t="shared" si="14"/>
        <v>3144P 2 wire RTD w/o element</v>
      </c>
    </row>
    <row r="24" spans="1:27" s="26" customFormat="1" ht="34.5" customHeight="1">
      <c r="A24" s="28" t="s">
        <v>41</v>
      </c>
      <c r="B24" s="34" t="s">
        <v>74</v>
      </c>
      <c r="C24" s="34" t="s">
        <v>40</v>
      </c>
      <c r="D24" s="27">
        <v>0</v>
      </c>
      <c r="E24" s="27">
        <f>W24+X24</f>
        <v>345.7</v>
      </c>
      <c r="F24" s="27">
        <f>S24+T24+U24+Y24</f>
        <v>1963.01</v>
      </c>
      <c r="G24" s="27">
        <f>V24+Z24</f>
        <v>474.29</v>
      </c>
      <c r="H24" s="9">
        <f>F24+G24</f>
        <v>2437.3</v>
      </c>
      <c r="I24" s="9">
        <f>D24+E24</f>
        <v>345.7</v>
      </c>
      <c r="J24" s="22">
        <f>(D24+E24+F24)/(D24+E24+F24+G24)</f>
        <v>0.8295759971254043</v>
      </c>
      <c r="K24" s="22">
        <f>I24/(H24+I24)</f>
        <v>0.12421846927775781</v>
      </c>
      <c r="L24" s="10">
        <f>F24/H24</f>
        <v>0.8054035202888441</v>
      </c>
      <c r="M24" s="10">
        <f>D24/(D24+E24)</f>
        <v>0</v>
      </c>
      <c r="N24" s="43">
        <f>(G24*24*365*10^-9)/2</f>
        <v>0.0020773902</v>
      </c>
      <c r="O24" s="27" t="s">
        <v>16</v>
      </c>
      <c r="P24" s="27" t="str">
        <f>"MTBF  "&amp;ROUND(R24,0)&amp;" years"</f>
        <v>MTBF  47 years</v>
      </c>
      <c r="Q24" s="60">
        <f>1/N24</f>
        <v>481.3732152967699</v>
      </c>
      <c r="R24" s="57">
        <f t="shared" si="1"/>
        <v>46.83676656199586</v>
      </c>
      <c r="S24" s="54">
        <v>32.85</v>
      </c>
      <c r="T24" s="54">
        <v>30</v>
      </c>
      <c r="U24" s="54">
        <v>300.16</v>
      </c>
      <c r="V24" s="54">
        <v>74.29</v>
      </c>
      <c r="W24" s="54">
        <v>336.9</v>
      </c>
      <c r="X24" s="54">
        <v>8.8</v>
      </c>
      <c r="Y24" s="54">
        <v>1600</v>
      </c>
      <c r="Z24" s="54">
        <v>400</v>
      </c>
      <c r="AA24" s="26" t="str">
        <f t="shared" si="14"/>
        <v>3144P RTD with 2-wire; low stress ; close</v>
      </c>
    </row>
    <row r="25" spans="1:27" s="26" customFormat="1" ht="34.5" customHeight="1">
      <c r="A25" s="28" t="s">
        <v>41</v>
      </c>
      <c r="B25" s="34" t="s">
        <v>73</v>
      </c>
      <c r="C25" s="34" t="s">
        <v>40</v>
      </c>
      <c r="D25" s="27">
        <v>0</v>
      </c>
      <c r="E25" s="27">
        <f>W25+X25</f>
        <v>345.7</v>
      </c>
      <c r="F25" s="27">
        <f>S25+T25+U25+Y25</f>
        <v>1763.01</v>
      </c>
      <c r="G25" s="27">
        <f>V25+Z25</f>
        <v>674.29</v>
      </c>
      <c r="H25" s="9">
        <f>F25+G25</f>
        <v>2437.3</v>
      </c>
      <c r="I25" s="9">
        <f>D25+E25</f>
        <v>345.7</v>
      </c>
      <c r="J25" s="22">
        <f>(D25+E25+F25)/(D25+E25+F25+G25)</f>
        <v>0.7577111031261229</v>
      </c>
      <c r="K25" s="22">
        <f>I25/(H25+I25)</f>
        <v>0.12421846927775781</v>
      </c>
      <c r="L25" s="10">
        <f>F25/H25</f>
        <v>0.7233455052722274</v>
      </c>
      <c r="M25" s="10">
        <f>D25/(D25+E25)</f>
        <v>0</v>
      </c>
      <c r="N25" s="43">
        <f>(G25*24*365*10^-9)/2</f>
        <v>0.0029533902</v>
      </c>
      <c r="O25" s="27" t="s">
        <v>16</v>
      </c>
      <c r="P25" s="27" t="str">
        <f>"MTBF  "&amp;ROUND(R25,0)&amp;" years"</f>
        <v>MTBF  47 years</v>
      </c>
      <c r="Q25" s="60">
        <f>1/N25</f>
        <v>338.59393181436036</v>
      </c>
      <c r="R25" s="57">
        <f>1000000000/((D25+F25+G25)*24*365)</f>
        <v>46.83676656199586</v>
      </c>
      <c r="S25" s="54">
        <v>32.85</v>
      </c>
      <c r="T25" s="54">
        <v>30</v>
      </c>
      <c r="U25" s="54">
        <v>300.16</v>
      </c>
      <c r="V25" s="54">
        <v>74.29</v>
      </c>
      <c r="W25" s="54">
        <v>336.9</v>
      </c>
      <c r="X25" s="54">
        <v>8.8</v>
      </c>
      <c r="Y25" s="54">
        <v>1400</v>
      </c>
      <c r="Z25" s="54">
        <v>600</v>
      </c>
      <c r="AA25" s="26" t="str">
        <f t="shared" si="14"/>
        <v>3144P RTD with 2-wire; low stress;  extended</v>
      </c>
    </row>
    <row r="26" spans="1:27" s="26" customFormat="1" ht="34.5" customHeight="1">
      <c r="A26" s="28" t="s">
        <v>41</v>
      </c>
      <c r="B26" s="34" t="s">
        <v>75</v>
      </c>
      <c r="C26" s="34" t="s">
        <v>40</v>
      </c>
      <c r="D26" s="27">
        <v>0</v>
      </c>
      <c r="E26" s="27">
        <f>W26+X26</f>
        <v>345.7</v>
      </c>
      <c r="F26" s="27">
        <f>S26+T26+U26+Y26</f>
        <v>6763.01</v>
      </c>
      <c r="G26" s="27">
        <f>V26+Z26</f>
        <v>1674.29</v>
      </c>
      <c r="H26" s="9">
        <f>F26+G26</f>
        <v>8437.3</v>
      </c>
      <c r="I26" s="9">
        <f>D26+E26</f>
        <v>345.7</v>
      </c>
      <c r="J26" s="22">
        <f>(D26+E26+F26)/(D26+E26+F26+G26)</f>
        <v>0.8093715131504042</v>
      </c>
      <c r="K26" s="22">
        <f>I26/(H26+I26)</f>
        <v>0.039360127519070934</v>
      </c>
      <c r="L26" s="10">
        <f>F26/H26</f>
        <v>0.8015609258886137</v>
      </c>
      <c r="M26" s="10">
        <f>D26/(D26+E26)</f>
        <v>0</v>
      </c>
      <c r="N26" s="43">
        <f>(G26*24*365*10^-9)/2</f>
        <v>0.0073333902000000005</v>
      </c>
      <c r="O26" s="27" t="s">
        <v>16</v>
      </c>
      <c r="P26" s="27" t="str">
        <f>"MTBF  "&amp;ROUND(R26,0)&amp;" years"</f>
        <v>MTBF  14 years</v>
      </c>
      <c r="Q26" s="60">
        <f>1/N26</f>
        <v>136.36257893381972</v>
      </c>
      <c r="R26" s="57">
        <f>1000000000/((D26+F26+G26)*24*365)</f>
        <v>13.52983195353401</v>
      </c>
      <c r="S26" s="54">
        <v>32.85</v>
      </c>
      <c r="T26" s="54">
        <v>30</v>
      </c>
      <c r="U26" s="54">
        <v>300.16</v>
      </c>
      <c r="V26" s="54">
        <v>74.29</v>
      </c>
      <c r="W26" s="54">
        <v>336.9</v>
      </c>
      <c r="X26" s="54">
        <v>8.8</v>
      </c>
      <c r="Y26" s="54">
        <v>6400</v>
      </c>
      <c r="Z26" s="54">
        <v>1600</v>
      </c>
      <c r="AA26" s="26" t="str">
        <f t="shared" si="14"/>
        <v>3144P RTD with 2-wire; high stress ; close</v>
      </c>
    </row>
    <row r="27" spans="1:27" s="26" customFormat="1" ht="34.5" customHeight="1">
      <c r="A27" s="28" t="s">
        <v>41</v>
      </c>
      <c r="B27" s="34" t="s">
        <v>76</v>
      </c>
      <c r="C27" s="34" t="s">
        <v>40</v>
      </c>
      <c r="D27" s="27">
        <v>0</v>
      </c>
      <c r="E27" s="27">
        <f>W27+X27</f>
        <v>345.7</v>
      </c>
      <c r="F27" s="27">
        <f>S27+T27+U27+Y27</f>
        <v>5963.01</v>
      </c>
      <c r="G27" s="27">
        <f>V27+Z27</f>
        <v>2474.29</v>
      </c>
      <c r="H27" s="9">
        <f>F27+G27</f>
        <v>8437.3</v>
      </c>
      <c r="I27" s="9">
        <f>D27+E27</f>
        <v>345.7</v>
      </c>
      <c r="J27" s="22">
        <f>(D27+E27+F27)/(D27+E27+F27+G27)</f>
        <v>0.7182864624843448</v>
      </c>
      <c r="K27" s="22">
        <f>I27/(H27+I27)</f>
        <v>0.039360127519070934</v>
      </c>
      <c r="L27" s="10">
        <f>F27/H27</f>
        <v>0.7067438635582474</v>
      </c>
      <c r="M27" s="10">
        <f>D27/(D27+E27)</f>
        <v>0</v>
      </c>
      <c r="N27" s="43">
        <f>(G27*24*365*10^-9)/2</f>
        <v>0.0108373902</v>
      </c>
      <c r="O27" s="27" t="s">
        <v>77</v>
      </c>
      <c r="P27" s="27" t="str">
        <f>"MTBF  "&amp;ROUND(R27,0)&amp;" years"</f>
        <v>MTBF  14 years</v>
      </c>
      <c r="Q27" s="60">
        <f>1/N27</f>
        <v>92.27313786302537</v>
      </c>
      <c r="R27" s="57">
        <f>1000000000/((D27+F27+G27)*24*365)</f>
        <v>13.52983195353401</v>
      </c>
      <c r="S27" s="54">
        <v>32.85</v>
      </c>
      <c r="T27" s="54">
        <v>30</v>
      </c>
      <c r="U27" s="54">
        <v>300.16</v>
      </c>
      <c r="V27" s="54">
        <v>74.29</v>
      </c>
      <c r="W27" s="54">
        <v>336.9</v>
      </c>
      <c r="X27" s="75">
        <v>8.8</v>
      </c>
      <c r="Y27" s="54">
        <v>5600</v>
      </c>
      <c r="Z27" s="54">
        <v>2400</v>
      </c>
      <c r="AA27" s="26" t="str">
        <f t="shared" si="14"/>
        <v>3144P RTD with 2-wire; high stress;  extended</v>
      </c>
    </row>
    <row r="28" spans="1:26" s="26" customFormat="1" ht="14.25" customHeight="1">
      <c r="A28" s="28"/>
      <c r="B28" s="34"/>
      <c r="C28" s="34"/>
      <c r="D28" s="27"/>
      <c r="E28" s="27"/>
      <c r="F28" s="27"/>
      <c r="G28" s="27"/>
      <c r="H28" s="9"/>
      <c r="I28" s="9"/>
      <c r="J28" s="22"/>
      <c r="K28" s="22"/>
      <c r="L28" s="10"/>
      <c r="M28" s="10"/>
      <c r="N28" s="43"/>
      <c r="O28" s="27"/>
      <c r="P28" s="27"/>
      <c r="Q28" s="60"/>
      <c r="R28" s="57"/>
      <c r="S28" s="54"/>
      <c r="T28" s="54"/>
      <c r="U28" s="54"/>
      <c r="V28" s="54"/>
      <c r="W28" s="54"/>
      <c r="X28" s="75"/>
      <c r="Y28" s="54"/>
      <c r="Z28" s="54"/>
    </row>
    <row r="29" spans="1:27" s="26" customFormat="1" ht="34.5" customHeight="1">
      <c r="A29" s="28" t="s">
        <v>41</v>
      </c>
      <c r="B29" s="34" t="s">
        <v>78</v>
      </c>
      <c r="C29" s="34" t="s">
        <v>40</v>
      </c>
      <c r="D29" s="27">
        <v>0</v>
      </c>
      <c r="E29" s="27">
        <f>W29+X29</f>
        <v>341.90000000000003</v>
      </c>
      <c r="F29" s="27">
        <f>S29+T29+U29+Y29</f>
        <v>366.81</v>
      </c>
      <c r="G29" s="27">
        <f>V29+Z29</f>
        <v>74.29</v>
      </c>
      <c r="H29" s="9">
        <f>F29+G29</f>
        <v>441.1</v>
      </c>
      <c r="I29" s="9">
        <f>D29+E29</f>
        <v>341.90000000000003</v>
      </c>
      <c r="J29" s="22">
        <f>(D29+E29+F29)/(D29+E29+F29+G29)</f>
        <v>0.9051213282247765</v>
      </c>
      <c r="K29" s="22">
        <f>I29/(H29+I29)</f>
        <v>0.436653895274585</v>
      </c>
      <c r="L29" s="10">
        <f>F29/H29</f>
        <v>0.8315801405576966</v>
      </c>
      <c r="M29" s="10">
        <f>D29/(D29+E29)</f>
        <v>0</v>
      </c>
      <c r="N29" s="43">
        <f>(G29*24*365*10^-9)/2</f>
        <v>0.0003253902</v>
      </c>
      <c r="O29" s="27" t="s">
        <v>31</v>
      </c>
      <c r="P29" s="27" t="str">
        <f>"MTBF  "&amp;ROUND(R29,0)&amp;" years"</f>
        <v>MTBF  259 years</v>
      </c>
      <c r="Q29" s="60">
        <f>1/N29</f>
        <v>3073.233305735698</v>
      </c>
      <c r="R29" s="57">
        <f>1000000000/((F29+G29)*24*365)</f>
        <v>258.79676069270573</v>
      </c>
      <c r="S29" s="54">
        <v>32.85</v>
      </c>
      <c r="T29" s="54">
        <v>30</v>
      </c>
      <c r="U29" s="54">
        <v>303.96</v>
      </c>
      <c r="V29" s="54">
        <v>74.29</v>
      </c>
      <c r="W29" s="54">
        <v>333.1</v>
      </c>
      <c r="X29" s="75">
        <v>8.8</v>
      </c>
      <c r="Y29" s="54"/>
      <c r="Z29" s="54"/>
      <c r="AA29" s="26" t="str">
        <f t="shared" si="14"/>
        <v>3144P 3 wire RTD w/o element</v>
      </c>
    </row>
    <row r="30" spans="1:27" s="26" customFormat="1" ht="39.75" customHeight="1">
      <c r="A30" s="28" t="s">
        <v>41</v>
      </c>
      <c r="B30" s="34" t="s">
        <v>79</v>
      </c>
      <c r="C30" s="34" t="s">
        <v>40</v>
      </c>
      <c r="D30" s="33">
        <v>0</v>
      </c>
      <c r="E30" s="27">
        <f>W30+X30</f>
        <v>341.90000000000003</v>
      </c>
      <c r="F30" s="27">
        <f>S30+T30+U30+Y30</f>
        <v>1966.81</v>
      </c>
      <c r="G30" s="27">
        <f>V30+Z30</f>
        <v>474.29</v>
      </c>
      <c r="H30" s="9">
        <f>F30+G30</f>
        <v>2441.1</v>
      </c>
      <c r="I30" s="9">
        <f>D30+E30</f>
        <v>341.90000000000003</v>
      </c>
      <c r="J30" s="22">
        <f>(D30+E30+F30)/(D30+E30+F30+G30)</f>
        <v>0.8295759971254043</v>
      </c>
      <c r="K30" s="22">
        <f>I30/(H30+I30)</f>
        <v>0.12285303629177148</v>
      </c>
      <c r="L30" s="10">
        <f>F30/H30</f>
        <v>0.8057064438163123</v>
      </c>
      <c r="M30" s="10">
        <f>D30/(D30+E30)</f>
        <v>0</v>
      </c>
      <c r="N30" s="43">
        <f>(G30*24*365*10^-9)/2</f>
        <v>0.0020773902</v>
      </c>
      <c r="O30" s="27" t="s">
        <v>16</v>
      </c>
      <c r="P30" s="27" t="str">
        <f>"MTBF  "&amp;ROUND(R30,0)&amp;" years"</f>
        <v>MTBF  47 years</v>
      </c>
      <c r="Q30" s="60">
        <f>1/N30</f>
        <v>481.3732152967699</v>
      </c>
      <c r="R30" s="57">
        <f>1000000000/((F30+G30)*24*365)</f>
        <v>46.76385692579269</v>
      </c>
      <c r="S30" s="54">
        <v>32.85</v>
      </c>
      <c r="T30" s="54">
        <v>30</v>
      </c>
      <c r="U30" s="54">
        <v>303.96</v>
      </c>
      <c r="V30" s="54">
        <v>74.29</v>
      </c>
      <c r="W30" s="54">
        <v>333.1</v>
      </c>
      <c r="X30" s="75">
        <v>8.8</v>
      </c>
      <c r="Y30" s="54">
        <v>1600</v>
      </c>
      <c r="Z30" s="54">
        <v>400</v>
      </c>
      <c r="AA30" s="26" t="str">
        <f t="shared" si="14"/>
        <v>3144P RTD with 3-wire; low stress ; close</v>
      </c>
    </row>
    <row r="31" spans="1:27" s="26" customFormat="1" ht="39" customHeight="1">
      <c r="A31" s="28" t="s">
        <v>41</v>
      </c>
      <c r="B31" s="34" t="s">
        <v>80</v>
      </c>
      <c r="C31" s="34" t="s">
        <v>40</v>
      </c>
      <c r="D31" s="33">
        <v>0</v>
      </c>
      <c r="E31" s="27">
        <f>W31+X31</f>
        <v>341.90000000000003</v>
      </c>
      <c r="F31" s="27">
        <f>S31+T31+U31+Y31</f>
        <v>1766.81</v>
      </c>
      <c r="G31" s="27">
        <f>V31+Z31</f>
        <v>674.29</v>
      </c>
      <c r="H31" s="9">
        <f>F31+G31</f>
        <v>2441.1</v>
      </c>
      <c r="I31" s="9">
        <f>D31+E31</f>
        <v>341.90000000000003</v>
      </c>
      <c r="J31" s="22">
        <f>(D31+E31+F31)/(D31+E31+F31+G31)</f>
        <v>0.7577111031261229</v>
      </c>
      <c r="K31" s="22">
        <f>I31/(H31+I31)</f>
        <v>0.12285303629177148</v>
      </c>
      <c r="L31" s="10">
        <f>F31/H31</f>
        <v>0.7237761664823236</v>
      </c>
      <c r="M31" s="10">
        <f>D31/(D31+E31)</f>
        <v>0</v>
      </c>
      <c r="N31" s="43">
        <f>(G31*24*365*10^-9)/2</f>
        <v>0.0029533902</v>
      </c>
      <c r="O31" s="27" t="s">
        <v>16</v>
      </c>
      <c r="P31" s="27" t="str">
        <f>"MTBF  "&amp;ROUND(R31,0)&amp;" years"</f>
        <v>MTBF  47 years</v>
      </c>
      <c r="Q31" s="60">
        <f>1/N31</f>
        <v>338.59393181436036</v>
      </c>
      <c r="R31" s="57">
        <f>1000000000/((F31+G31)*24*365)</f>
        <v>46.76385692579269</v>
      </c>
      <c r="S31" s="54">
        <v>32.85</v>
      </c>
      <c r="T31" s="54">
        <v>30</v>
      </c>
      <c r="U31" s="54">
        <v>303.96</v>
      </c>
      <c r="V31" s="54">
        <v>74.29</v>
      </c>
      <c r="W31" s="54">
        <v>333.1</v>
      </c>
      <c r="X31" s="75">
        <v>8.8</v>
      </c>
      <c r="Y31" s="54">
        <v>1400</v>
      </c>
      <c r="Z31" s="54">
        <v>600</v>
      </c>
      <c r="AA31" s="26" t="str">
        <f t="shared" si="14"/>
        <v>3144P RTD with 3-wire; low stress;  extended</v>
      </c>
    </row>
    <row r="32" spans="1:27" s="26" customFormat="1" ht="36.75" customHeight="1">
      <c r="A32" s="28" t="s">
        <v>41</v>
      </c>
      <c r="B32" s="34" t="s">
        <v>81</v>
      </c>
      <c r="C32" s="34" t="s">
        <v>40</v>
      </c>
      <c r="D32" s="33">
        <v>0</v>
      </c>
      <c r="E32" s="27">
        <f>W32+X32</f>
        <v>341.90000000000003</v>
      </c>
      <c r="F32" s="27">
        <f>S32+T32+U32+Y32</f>
        <v>6766.81</v>
      </c>
      <c r="G32" s="27">
        <f>V32+Z32</f>
        <v>1674.29</v>
      </c>
      <c r="H32" s="9">
        <f>F32+G32</f>
        <v>8441.1</v>
      </c>
      <c r="I32" s="9">
        <f>D32+E32</f>
        <v>341.90000000000003</v>
      </c>
      <c r="J32" s="22">
        <f>(D32+E32+F32)/(D32+E32+F32+G32)</f>
        <v>0.8093715131504042</v>
      </c>
      <c r="K32" s="22">
        <f>I32/(H32+I32)</f>
        <v>0.038927473528407155</v>
      </c>
      <c r="L32" s="10">
        <f>F32/H32</f>
        <v>0.8016502588525193</v>
      </c>
      <c r="M32" s="10">
        <f>D32/(D32+E32)</f>
        <v>0</v>
      </c>
      <c r="N32" s="43">
        <f>(G32*24*365*10^-9)/2</f>
        <v>0.0073333902000000005</v>
      </c>
      <c r="O32" s="27" t="s">
        <v>16</v>
      </c>
      <c r="P32" s="27" t="str">
        <f>"MTBF  "&amp;ROUND(R32,0)&amp;" years"</f>
        <v>MTBF  14 years</v>
      </c>
      <c r="Q32" s="60">
        <f>1/N32</f>
        <v>136.36257893381972</v>
      </c>
      <c r="R32" s="57">
        <f>1000000000/((F32+G32)*24*365)</f>
        <v>13.523741116863025</v>
      </c>
      <c r="S32" s="54">
        <v>32.85</v>
      </c>
      <c r="T32" s="54">
        <v>30</v>
      </c>
      <c r="U32" s="54">
        <v>303.96</v>
      </c>
      <c r="V32" s="54">
        <v>74.29</v>
      </c>
      <c r="W32" s="54">
        <v>333.1</v>
      </c>
      <c r="X32" s="75">
        <v>8.8</v>
      </c>
      <c r="Y32" s="54">
        <v>6400</v>
      </c>
      <c r="Z32" s="54">
        <v>1600</v>
      </c>
      <c r="AA32" s="26" t="str">
        <f t="shared" si="14"/>
        <v>3144P RTD with 3-wire; high stress ; close</v>
      </c>
    </row>
    <row r="33" spans="1:27" s="26" customFormat="1" ht="41.25" customHeight="1">
      <c r="A33" s="28" t="s">
        <v>41</v>
      </c>
      <c r="B33" s="34" t="s">
        <v>82</v>
      </c>
      <c r="C33" s="34" t="s">
        <v>40</v>
      </c>
      <c r="D33" s="33">
        <v>0</v>
      </c>
      <c r="E33" s="27">
        <f>W33+X33</f>
        <v>341.90000000000003</v>
      </c>
      <c r="F33" s="27">
        <f>S33+T33+U33+Y33</f>
        <v>5966.81</v>
      </c>
      <c r="G33" s="27">
        <f>V33+Z33</f>
        <v>2474.29</v>
      </c>
      <c r="H33" s="9">
        <f>F33+G33</f>
        <v>8441.1</v>
      </c>
      <c r="I33" s="9">
        <f>D33+E33</f>
        <v>341.90000000000003</v>
      </c>
      <c r="J33" s="22">
        <f>(D33+E33+F33)/(D33+E33+F33+G33)</f>
        <v>0.7182864624843448</v>
      </c>
      <c r="K33" s="22">
        <f>I33/(H33+I33)</f>
        <v>0.038927473528407155</v>
      </c>
      <c r="L33" s="10">
        <f>F33/H33</f>
        <v>0.7068758811055431</v>
      </c>
      <c r="M33" s="10">
        <f>D33/(D33+E33)</f>
        <v>0</v>
      </c>
      <c r="N33" s="43">
        <f>(G33*24*365*10^-9)/2</f>
        <v>0.0108373902</v>
      </c>
      <c r="O33" s="27" t="s">
        <v>77</v>
      </c>
      <c r="P33" s="27" t="str">
        <f>"MTBF  "&amp;ROUND(R33,0)&amp;" years"</f>
        <v>MTBF  14 years</v>
      </c>
      <c r="Q33" s="60">
        <f>1/N33</f>
        <v>92.27313786302537</v>
      </c>
      <c r="R33" s="57">
        <f>1000000000/((F33+G33)*24*365)</f>
        <v>13.523741116863025</v>
      </c>
      <c r="S33" s="54">
        <v>32.85</v>
      </c>
      <c r="T33" s="54">
        <v>30</v>
      </c>
      <c r="U33" s="54">
        <v>303.96</v>
      </c>
      <c r="V33" s="54">
        <v>74.29</v>
      </c>
      <c r="W33" s="54">
        <v>333.1</v>
      </c>
      <c r="X33" s="75">
        <v>8.8</v>
      </c>
      <c r="Y33" s="54">
        <v>5600</v>
      </c>
      <c r="Z33" s="54">
        <v>2400</v>
      </c>
      <c r="AA33" s="26" t="str">
        <f t="shared" si="14"/>
        <v>3144P RTD with 3-wire; high stress;  extended</v>
      </c>
    </row>
    <row r="34" spans="1:26" s="2" customFormat="1" ht="14.25" customHeight="1">
      <c r="A34" s="32"/>
      <c r="B34" s="35"/>
      <c r="C34" s="35"/>
      <c r="D34" s="33"/>
      <c r="E34" s="33"/>
      <c r="F34" s="33"/>
      <c r="G34" s="33"/>
      <c r="H34" s="31"/>
      <c r="I34" s="31"/>
      <c r="J34" s="23"/>
      <c r="K34" s="23"/>
      <c r="L34" s="25"/>
      <c r="M34" s="25"/>
      <c r="N34" s="44"/>
      <c r="O34" s="33"/>
      <c r="P34" s="33"/>
      <c r="Q34" s="63"/>
      <c r="R34" s="58"/>
      <c r="S34" s="59"/>
      <c r="T34" s="59"/>
      <c r="U34" s="59"/>
      <c r="V34" s="59"/>
      <c r="W34" s="59"/>
      <c r="X34" s="76"/>
      <c r="Y34" s="59"/>
      <c r="Z34" s="59"/>
    </row>
    <row r="35" spans="1:27" s="26" customFormat="1" ht="28.5" customHeight="1">
      <c r="A35" s="28" t="s">
        <v>41</v>
      </c>
      <c r="B35" s="34" t="s">
        <v>83</v>
      </c>
      <c r="C35" s="34" t="s">
        <v>40</v>
      </c>
      <c r="D35" s="33">
        <v>0</v>
      </c>
      <c r="E35" s="27">
        <f>W35+X35</f>
        <v>323.90000000000003</v>
      </c>
      <c r="F35" s="27">
        <f>S35+T35+U35+Y35</f>
        <v>384.81</v>
      </c>
      <c r="G35" s="27">
        <f>V35+Z35</f>
        <v>74.29</v>
      </c>
      <c r="H35" s="9">
        <f>F35+G35</f>
        <v>459.1</v>
      </c>
      <c r="I35" s="9">
        <f>D35+E35</f>
        <v>323.90000000000003</v>
      </c>
      <c r="J35" s="22">
        <f>(D35+E35+F35)/(D35+E35+F35+G35)</f>
        <v>0.9051213282247765</v>
      </c>
      <c r="K35" s="22">
        <f>I35/(H35+I35)</f>
        <v>0.4136653895274585</v>
      </c>
      <c r="L35" s="10">
        <f>F35/H35</f>
        <v>0.8381834023088651</v>
      </c>
      <c r="M35" s="10">
        <f>D35/(D35+E35)</f>
        <v>0</v>
      </c>
      <c r="N35" s="43">
        <f>(G35*24*365*10^-9)/2</f>
        <v>0.0003253902</v>
      </c>
      <c r="O35" s="27" t="s">
        <v>31</v>
      </c>
      <c r="P35" s="27" t="str">
        <f>"MTBF  "&amp;ROUND(R35,0)&amp;" years"</f>
        <v>MTBF  249 years</v>
      </c>
      <c r="Q35" s="60">
        <f aca="true" t="shared" si="15" ref="Q35:Q42">1/N35</f>
        <v>3073.233305735698</v>
      </c>
      <c r="R35" s="57">
        <f>1000000000/((F35+G35)*24*365)</f>
        <v>248.6500787226149</v>
      </c>
      <c r="S35" s="54">
        <v>32.85</v>
      </c>
      <c r="T35" s="54">
        <v>30</v>
      </c>
      <c r="U35" s="54">
        <v>321.96</v>
      </c>
      <c r="V35" s="54">
        <v>74.29</v>
      </c>
      <c r="W35" s="54">
        <v>315.1</v>
      </c>
      <c r="X35" s="75">
        <v>8.8</v>
      </c>
      <c r="Y35" s="54"/>
      <c r="Z35" s="54"/>
      <c r="AA35" s="26" t="str">
        <f t="shared" si="14"/>
        <v>3144P 4 wire RTD w/o element</v>
      </c>
    </row>
    <row r="36" spans="1:27" s="26" customFormat="1" ht="41.25" customHeight="1">
      <c r="A36" s="28" t="s">
        <v>41</v>
      </c>
      <c r="B36" s="34" t="s">
        <v>84</v>
      </c>
      <c r="C36" s="34" t="s">
        <v>40</v>
      </c>
      <c r="D36" s="33">
        <v>0</v>
      </c>
      <c r="E36" s="27">
        <f>W36+X36</f>
        <v>323.90000000000003</v>
      </c>
      <c r="F36" s="27">
        <f>S36+T36+U36+Y36</f>
        <v>2364.81</v>
      </c>
      <c r="G36" s="27">
        <f>V36+Z36</f>
        <v>94.29</v>
      </c>
      <c r="H36" s="9">
        <f>F36+G36</f>
        <v>2459.1</v>
      </c>
      <c r="I36" s="9">
        <f>D36+E36</f>
        <v>323.90000000000003</v>
      </c>
      <c r="J36" s="22">
        <f>(D36+E36+F36)/(D36+E36+F36+G36)</f>
        <v>0.9661192957240389</v>
      </c>
      <c r="K36" s="22">
        <f>I36/(H36+I36)</f>
        <v>0.11638519583183617</v>
      </c>
      <c r="L36" s="10">
        <f>F36/H36</f>
        <v>0.9616567036720751</v>
      </c>
      <c r="M36" s="10">
        <f>D36/(D36+E36)</f>
        <v>0</v>
      </c>
      <c r="N36" s="43">
        <f>(G36*24*365*10^-9)/2</f>
        <v>0.00041299020000000003</v>
      </c>
      <c r="O36" s="27" t="s">
        <v>31</v>
      </c>
      <c r="P36" s="27" t="str">
        <f>"MTBF  "&amp;ROUND(R36,0)&amp;" years"</f>
        <v>MTBF  46 years</v>
      </c>
      <c r="Q36" s="60">
        <f t="shared" si="15"/>
        <v>2421.364962171015</v>
      </c>
      <c r="R36" s="57">
        <f>1000000000/((F36+G36)*24*365)</f>
        <v>46.4215571312889</v>
      </c>
      <c r="S36" s="54">
        <v>32.85</v>
      </c>
      <c r="T36" s="54">
        <v>30</v>
      </c>
      <c r="U36" s="54">
        <v>321.96</v>
      </c>
      <c r="V36" s="54">
        <v>74.29</v>
      </c>
      <c r="W36" s="54">
        <v>315.1</v>
      </c>
      <c r="X36" s="75">
        <v>8.8</v>
      </c>
      <c r="Y36" s="54">
        <v>1980</v>
      </c>
      <c r="Z36" s="54">
        <v>20</v>
      </c>
      <c r="AA36" s="26" t="str">
        <f t="shared" si="14"/>
        <v>3144P RTD with 4-wire; low stress ; close</v>
      </c>
    </row>
    <row r="37" spans="1:27" s="26" customFormat="1" ht="41.25" customHeight="1">
      <c r="A37" s="28" t="s">
        <v>41</v>
      </c>
      <c r="B37" s="34" t="s">
        <v>85</v>
      </c>
      <c r="C37" s="34" t="s">
        <v>40</v>
      </c>
      <c r="D37" s="33">
        <v>0</v>
      </c>
      <c r="E37" s="27">
        <f>W37+X37</f>
        <v>323.90000000000003</v>
      </c>
      <c r="F37" s="27">
        <f>S37+T37+U37+Y37</f>
        <v>2364.81</v>
      </c>
      <c r="G37" s="27">
        <f>V37+Z37</f>
        <v>94.29</v>
      </c>
      <c r="H37" s="9">
        <f>F37+G37</f>
        <v>2459.1</v>
      </c>
      <c r="I37" s="9">
        <f>D37+E37</f>
        <v>323.90000000000003</v>
      </c>
      <c r="J37" s="22">
        <f>(D37+E37+F37)/(D37+E37+F37+G37)</f>
        <v>0.9661192957240389</v>
      </c>
      <c r="K37" s="22">
        <f>I37/(H37+I37)</f>
        <v>0.11638519583183617</v>
      </c>
      <c r="L37" s="10">
        <f>F37/H37</f>
        <v>0.9616567036720751</v>
      </c>
      <c r="M37" s="10">
        <f>D37/(D37+E37)</f>
        <v>0</v>
      </c>
      <c r="N37" s="43">
        <f>(G37*24*365*10^-9)/2</f>
        <v>0.00041299020000000003</v>
      </c>
      <c r="O37" s="27" t="s">
        <v>31</v>
      </c>
      <c r="P37" s="27" t="str">
        <f>"MTBF  "&amp;ROUND(R37,0)&amp;" years"</f>
        <v>MTBF  46 years</v>
      </c>
      <c r="Q37" s="60">
        <f t="shared" si="15"/>
        <v>2421.364962171015</v>
      </c>
      <c r="R37" s="57">
        <f>1000000000/((F37+G37)*24*365)</f>
        <v>46.4215571312889</v>
      </c>
      <c r="S37" s="54">
        <v>32.85</v>
      </c>
      <c r="T37" s="54">
        <v>30</v>
      </c>
      <c r="U37" s="54">
        <v>321.96</v>
      </c>
      <c r="V37" s="54">
        <v>74.29</v>
      </c>
      <c r="W37" s="54">
        <v>315.1</v>
      </c>
      <c r="X37" s="75">
        <v>8.8</v>
      </c>
      <c r="Y37" s="54">
        <v>1980</v>
      </c>
      <c r="Z37" s="54">
        <v>20</v>
      </c>
      <c r="AA37" s="26" t="str">
        <f t="shared" si="14"/>
        <v>3144P RTD with 4-wire; low stress;  extended</v>
      </c>
    </row>
    <row r="38" spans="1:27" s="26" customFormat="1" ht="41.25" customHeight="1">
      <c r="A38" s="28" t="s">
        <v>41</v>
      </c>
      <c r="B38" s="34" t="s">
        <v>86</v>
      </c>
      <c r="C38" s="34" t="s">
        <v>40</v>
      </c>
      <c r="D38" s="33">
        <v>0</v>
      </c>
      <c r="E38" s="27">
        <f>W38+X38</f>
        <v>323.90000000000003</v>
      </c>
      <c r="F38" s="27">
        <f>S38+T38+U38+Y38</f>
        <v>8304.81</v>
      </c>
      <c r="G38" s="27">
        <f>V38+Z38</f>
        <v>154.29000000000002</v>
      </c>
      <c r="H38" s="9">
        <f>F38+G38</f>
        <v>8459.1</v>
      </c>
      <c r="I38" s="9">
        <f>D38+E38</f>
        <v>323.90000000000003</v>
      </c>
      <c r="J38" s="22">
        <f>(D38+E38+F38)/(D38+E38+F38+G38)</f>
        <v>0.982433109415917</v>
      </c>
      <c r="K38" s="22">
        <f>I38/(H38+I38)</f>
        <v>0.036878059888420814</v>
      </c>
      <c r="L38" s="10">
        <f>F38/H38</f>
        <v>0.9817604709720891</v>
      </c>
      <c r="M38" s="10">
        <f>D38/(D38+E38)</f>
        <v>0</v>
      </c>
      <c r="N38" s="43">
        <f>(G38*24*365*10^-9)/2</f>
        <v>0.0006757902000000001</v>
      </c>
      <c r="O38" s="27" t="s">
        <v>31</v>
      </c>
      <c r="P38" s="27" t="str">
        <f>"MTBF  "&amp;ROUND(R38,0)&amp;" years"</f>
        <v>MTBF  13 years</v>
      </c>
      <c r="Q38" s="60">
        <f t="shared" si="15"/>
        <v>1479.7491884315575</v>
      </c>
      <c r="R38" s="57">
        <f>1000000000/((F38+G38)*24*365)</f>
        <v>13.494964138212397</v>
      </c>
      <c r="S38" s="54">
        <v>32.85</v>
      </c>
      <c r="T38" s="54">
        <v>30</v>
      </c>
      <c r="U38" s="54">
        <v>321.96</v>
      </c>
      <c r="V38" s="54">
        <v>74.29</v>
      </c>
      <c r="W38" s="54">
        <v>315.1</v>
      </c>
      <c r="X38" s="75">
        <v>8.8</v>
      </c>
      <c r="Y38" s="54">
        <v>7920</v>
      </c>
      <c r="Z38" s="54">
        <v>80</v>
      </c>
      <c r="AA38" s="26" t="str">
        <f t="shared" si="14"/>
        <v>3144P RTD with 4-wire; high stress ; close</v>
      </c>
    </row>
    <row r="39" spans="1:27" s="26" customFormat="1" ht="37.5" customHeight="1">
      <c r="A39" s="28" t="s">
        <v>41</v>
      </c>
      <c r="B39" s="34" t="s">
        <v>87</v>
      </c>
      <c r="C39" s="34" t="s">
        <v>40</v>
      </c>
      <c r="D39" s="33">
        <v>0</v>
      </c>
      <c r="E39" s="27">
        <f>W39+X39</f>
        <v>323.90000000000003</v>
      </c>
      <c r="F39" s="27">
        <f>S39+T39+U39+Y39</f>
        <v>8304.81</v>
      </c>
      <c r="G39" s="27">
        <f>V39+Z39</f>
        <v>154.29000000000002</v>
      </c>
      <c r="H39" s="9">
        <f>F39+G39</f>
        <v>8459.1</v>
      </c>
      <c r="I39" s="9">
        <f>D39+E39</f>
        <v>323.90000000000003</v>
      </c>
      <c r="J39" s="22">
        <f>(D39+E39+F39)/(D39+E39+F39+G39)</f>
        <v>0.982433109415917</v>
      </c>
      <c r="K39" s="22">
        <f>I39/(H39+I39)</f>
        <v>0.036878059888420814</v>
      </c>
      <c r="L39" s="10">
        <f>F39/H39</f>
        <v>0.9817604709720891</v>
      </c>
      <c r="M39" s="10">
        <f>D39/(D39+E39)</f>
        <v>0</v>
      </c>
      <c r="N39" s="43">
        <f>(G39*24*365*10^-9)/2</f>
        <v>0.0006757902000000001</v>
      </c>
      <c r="O39" s="27" t="s">
        <v>31</v>
      </c>
      <c r="P39" s="27" t="str">
        <f>"MTBF  "&amp;ROUND(R39,0)&amp;" years"</f>
        <v>MTBF  13 years</v>
      </c>
      <c r="Q39" s="60">
        <f t="shared" si="15"/>
        <v>1479.7491884315575</v>
      </c>
      <c r="R39" s="57">
        <f>1000000000/((F39+G39)*24*365)</f>
        <v>13.494964138212397</v>
      </c>
      <c r="S39" s="54">
        <v>32.85</v>
      </c>
      <c r="T39" s="54">
        <v>30</v>
      </c>
      <c r="U39" s="54">
        <v>321.96</v>
      </c>
      <c r="V39" s="54">
        <v>74.29</v>
      </c>
      <c r="W39" s="54">
        <v>315.1</v>
      </c>
      <c r="X39" s="75">
        <v>8.8</v>
      </c>
      <c r="Y39" s="54">
        <v>7920</v>
      </c>
      <c r="Z39" s="54">
        <v>80</v>
      </c>
      <c r="AA39" s="26" t="str">
        <f t="shared" si="14"/>
        <v>3144P RTD with 4-wire; high stress;  extended</v>
      </c>
    </row>
    <row r="40" spans="1:26" s="26" customFormat="1" ht="12.75" customHeight="1">
      <c r="A40" s="29"/>
      <c r="B40" s="34"/>
      <c r="C40" s="29"/>
      <c r="D40" s="30"/>
      <c r="E40" s="27"/>
      <c r="F40" s="27"/>
      <c r="G40" s="27"/>
      <c r="H40" s="9"/>
      <c r="I40" s="31"/>
      <c r="J40" s="23"/>
      <c r="K40" s="23"/>
      <c r="L40" s="25"/>
      <c r="M40" s="25"/>
      <c r="N40" s="45"/>
      <c r="O40" s="30"/>
      <c r="P40" s="33"/>
      <c r="Q40" s="63"/>
      <c r="R40" s="57"/>
      <c r="S40" s="54"/>
      <c r="T40" s="54"/>
      <c r="U40" s="54"/>
      <c r="V40" s="54"/>
      <c r="W40" s="54"/>
      <c r="X40" s="75"/>
      <c r="Y40" s="54"/>
      <c r="Z40" s="54"/>
    </row>
    <row r="41" spans="1:27" s="11" customFormat="1" ht="33" customHeight="1">
      <c r="A41" s="9" t="s">
        <v>43</v>
      </c>
      <c r="B41" s="9" t="s">
        <v>90</v>
      </c>
      <c r="C41" s="64" t="s">
        <v>15</v>
      </c>
      <c r="D41" s="9">
        <v>0</v>
      </c>
      <c r="E41" s="27">
        <f>W41+X41</f>
        <v>472</v>
      </c>
      <c r="F41" s="27">
        <f>S41+T41+U41+Y41</f>
        <v>1805</v>
      </c>
      <c r="G41" s="27">
        <f>V41+Z41</f>
        <v>257</v>
      </c>
      <c r="H41" s="9">
        <f>F41+G41</f>
        <v>2062</v>
      </c>
      <c r="I41" s="9">
        <f>D41+E41</f>
        <v>472</v>
      </c>
      <c r="J41" s="22">
        <f>(D41+E41+F41)/(D41+E41+F41+G41)</f>
        <v>0.898579321231255</v>
      </c>
      <c r="K41" s="22">
        <f>I41/(H41+I41)</f>
        <v>0.186266771902131</v>
      </c>
      <c r="L41" s="10">
        <f>F41/H41</f>
        <v>0.8753637245392822</v>
      </c>
      <c r="M41" s="10">
        <f>D41/(D41+E41)</f>
        <v>0</v>
      </c>
      <c r="N41" s="46">
        <v>0.00135</v>
      </c>
      <c r="O41" s="9" t="s">
        <v>16</v>
      </c>
      <c r="P41" s="27" t="str">
        <f>"MTBF  "&amp;ROUND(R41,0)&amp;" years"</f>
        <v>MTBF  55 years</v>
      </c>
      <c r="Q41" s="60">
        <f t="shared" si="15"/>
        <v>740.7407407407406</v>
      </c>
      <c r="R41" s="57">
        <f>1000000000/((F41+G41)*24*365)</f>
        <v>55.36142150414768</v>
      </c>
      <c r="S41" s="66">
        <v>7</v>
      </c>
      <c r="T41" s="66">
        <v>1712</v>
      </c>
      <c r="U41" s="66">
        <v>86</v>
      </c>
      <c r="V41" s="66">
        <v>257</v>
      </c>
      <c r="W41" s="66">
        <v>458</v>
      </c>
      <c r="X41" s="66">
        <v>14</v>
      </c>
      <c r="Y41" s="50"/>
      <c r="Z41" s="50"/>
      <c r="AA41" s="26" t="str">
        <f t="shared" si="14"/>
        <v>MVD 1700      option A</v>
      </c>
    </row>
    <row r="42" spans="1:27" s="11" customFormat="1" ht="33" customHeight="1">
      <c r="A42" s="13" t="s">
        <v>91</v>
      </c>
      <c r="B42" s="13" t="s">
        <v>89</v>
      </c>
      <c r="C42" s="65" t="s">
        <v>15</v>
      </c>
      <c r="D42" s="13">
        <v>0</v>
      </c>
      <c r="E42" s="27">
        <f>W42+X42</f>
        <v>469</v>
      </c>
      <c r="F42" s="27">
        <f>S42+T42+U42+Y42</f>
        <v>1795</v>
      </c>
      <c r="G42" s="27">
        <f>V42+Z42</f>
        <v>260</v>
      </c>
      <c r="H42" s="9">
        <f>F42+G42</f>
        <v>2055</v>
      </c>
      <c r="I42" s="13">
        <f>D42+E42</f>
        <v>469</v>
      </c>
      <c r="J42" s="22">
        <f>(D42+E42+F42)/(D42+E42+F42+G42)</f>
        <v>0.8969889064976229</v>
      </c>
      <c r="K42" s="22">
        <f>I42/(H42+I42)</f>
        <v>0.1858161648177496</v>
      </c>
      <c r="L42" s="10">
        <f>F42/H42</f>
        <v>0.8734793187347932</v>
      </c>
      <c r="M42" s="10">
        <f>D42/(D42+E42)</f>
        <v>0</v>
      </c>
      <c r="N42" s="47">
        <v>0.00135</v>
      </c>
      <c r="O42" s="13" t="s">
        <v>16</v>
      </c>
      <c r="P42" s="27" t="str">
        <f>"MTBF  "&amp;ROUND(R42,0)&amp;" years"</f>
        <v>MTBF  56 years</v>
      </c>
      <c r="Q42" s="60">
        <f t="shared" si="15"/>
        <v>740.7407407407406</v>
      </c>
      <c r="R42" s="57">
        <f>1000000000/((F42+G42)*24*365)</f>
        <v>55.550000555500006</v>
      </c>
      <c r="S42" s="66">
        <v>46</v>
      </c>
      <c r="T42" s="66">
        <v>1697</v>
      </c>
      <c r="U42" s="66">
        <v>52</v>
      </c>
      <c r="V42" s="66">
        <v>260</v>
      </c>
      <c r="W42" s="66">
        <v>455</v>
      </c>
      <c r="X42" s="66">
        <v>14</v>
      </c>
      <c r="Y42" s="50"/>
      <c r="Z42" s="50"/>
      <c r="AA42" s="26" t="str">
        <f t="shared" si="14"/>
        <v>MVD 1700        option D</v>
      </c>
    </row>
    <row r="43" spans="1:27" s="74" customFormat="1" ht="12.75" customHeight="1">
      <c r="A43" s="14"/>
      <c r="B43" s="14"/>
      <c r="C43" s="14"/>
      <c r="D43" s="15"/>
      <c r="E43" s="33"/>
      <c r="F43" s="33"/>
      <c r="G43" s="33"/>
      <c r="H43" s="31"/>
      <c r="I43" s="15"/>
      <c r="J43" s="15"/>
      <c r="K43" s="15"/>
      <c r="L43" s="16"/>
      <c r="M43" s="16"/>
      <c r="N43" s="15"/>
      <c r="O43" s="15"/>
      <c r="P43" s="33"/>
      <c r="Q43" s="62"/>
      <c r="R43" s="58"/>
      <c r="S43" s="72"/>
      <c r="T43" s="72"/>
      <c r="U43" s="72"/>
      <c r="V43" s="72"/>
      <c r="W43" s="72"/>
      <c r="X43" s="72"/>
      <c r="Y43" s="73"/>
      <c r="Z43" s="73"/>
      <c r="AA43" s="2"/>
    </row>
    <row r="44" spans="1:27" s="11" customFormat="1" ht="33" customHeight="1">
      <c r="A44" s="17" t="s">
        <v>44</v>
      </c>
      <c r="B44" s="19" t="s">
        <v>92</v>
      </c>
      <c r="C44" s="18" t="s">
        <v>21</v>
      </c>
      <c r="D44" s="9">
        <v>0</v>
      </c>
      <c r="E44" s="27">
        <f>W44+X44</f>
        <v>472</v>
      </c>
      <c r="F44" s="27">
        <f>S44+T44+U44+Y44</f>
        <v>1805</v>
      </c>
      <c r="G44" s="27">
        <f>V44+Z44</f>
        <v>257</v>
      </c>
      <c r="H44" s="9">
        <f>F44+G44</f>
        <v>2062</v>
      </c>
      <c r="I44" s="9">
        <f>D44+E44</f>
        <v>472</v>
      </c>
      <c r="J44" s="22">
        <f>(D44+E44+F44)/(D44+E44+F44+G44)</f>
        <v>0.898579321231255</v>
      </c>
      <c r="K44" s="22">
        <f>I44/(H44+I44)</f>
        <v>0.186266771902131</v>
      </c>
      <c r="L44" s="10">
        <f>F44/H44</f>
        <v>0.8753637245392822</v>
      </c>
      <c r="M44" s="10">
        <f>D44/(D44+E44)</f>
        <v>0</v>
      </c>
      <c r="N44" s="48">
        <v>0.00135</v>
      </c>
      <c r="O44" s="19" t="s">
        <v>16</v>
      </c>
      <c r="P44" s="27" t="str">
        <f>"MTBF  "&amp;ROUND(R44,0)&amp;" years"</f>
        <v>MTBF  55 years</v>
      </c>
      <c r="Q44" s="60">
        <f>1/N44</f>
        <v>740.7407407407406</v>
      </c>
      <c r="R44" s="57">
        <f>1000000000/((F44+G44)*24*365)</f>
        <v>55.36142150414768</v>
      </c>
      <c r="S44" s="66">
        <v>7</v>
      </c>
      <c r="T44" s="66">
        <v>1712</v>
      </c>
      <c r="U44" s="66">
        <v>86</v>
      </c>
      <c r="V44" s="66">
        <v>257</v>
      </c>
      <c r="W44" s="66">
        <v>458</v>
      </c>
      <c r="X44" s="66">
        <v>14</v>
      </c>
      <c r="Y44" s="50"/>
      <c r="Z44" s="50"/>
      <c r="AA44" s="26" t="str">
        <f t="shared" si="14"/>
        <v>MVD 2700      option A</v>
      </c>
    </row>
    <row r="45" spans="1:27" s="11" customFormat="1" ht="33" customHeight="1">
      <c r="A45" s="9" t="s">
        <v>93</v>
      </c>
      <c r="B45" s="9" t="s">
        <v>94</v>
      </c>
      <c r="C45" s="8" t="s">
        <v>21</v>
      </c>
      <c r="D45" s="13">
        <v>0</v>
      </c>
      <c r="E45" s="27">
        <f>W45+X45</f>
        <v>469</v>
      </c>
      <c r="F45" s="27">
        <f>S45+T45+U45+Y45</f>
        <v>1795</v>
      </c>
      <c r="G45" s="27">
        <f>V45+Z45</f>
        <v>260</v>
      </c>
      <c r="H45" s="9">
        <f>F45+G45</f>
        <v>2055</v>
      </c>
      <c r="I45" s="13">
        <f>D45+E45</f>
        <v>469</v>
      </c>
      <c r="J45" s="22">
        <f>(D45+E45+F45)/(D45+E45+F45+G45)</f>
        <v>0.8969889064976229</v>
      </c>
      <c r="K45" s="22">
        <f>I45/(H45+I45)</f>
        <v>0.1858161648177496</v>
      </c>
      <c r="L45" s="10">
        <f>F45/H45</f>
        <v>0.8734793187347932</v>
      </c>
      <c r="M45" s="10">
        <f>D45/(D45+E45)</f>
        <v>0</v>
      </c>
      <c r="N45" s="46">
        <v>0.00135</v>
      </c>
      <c r="O45" s="9" t="s">
        <v>16</v>
      </c>
      <c r="P45" s="27" t="str">
        <f>"MTBF  "&amp;ROUND(R45,0)&amp;" years"</f>
        <v>MTBF  56 years</v>
      </c>
      <c r="Q45" s="60">
        <f>1/N45</f>
        <v>740.7407407407406</v>
      </c>
      <c r="R45" s="57">
        <f>1000000000/((F45+G45)*24*365)</f>
        <v>55.550000555500006</v>
      </c>
      <c r="S45" s="66">
        <v>46</v>
      </c>
      <c r="T45" s="66">
        <v>1697</v>
      </c>
      <c r="U45" s="66">
        <v>52</v>
      </c>
      <c r="V45" s="66">
        <v>260</v>
      </c>
      <c r="W45" s="66">
        <v>455</v>
      </c>
      <c r="X45" s="66">
        <v>14</v>
      </c>
      <c r="Y45" s="50"/>
      <c r="Z45" s="50"/>
      <c r="AA45" s="26" t="str">
        <f t="shared" si="14"/>
        <v>MVD 2700    option D</v>
      </c>
    </row>
    <row r="46" spans="1:27" s="11" customFormat="1" ht="33" customHeight="1">
      <c r="A46" s="9" t="s">
        <v>44</v>
      </c>
      <c r="B46" s="13" t="s">
        <v>95</v>
      </c>
      <c r="C46" s="12" t="s">
        <v>21</v>
      </c>
      <c r="D46" s="13">
        <v>0</v>
      </c>
      <c r="E46" s="27">
        <f>W46+X46</f>
        <v>463</v>
      </c>
      <c r="F46" s="27">
        <f>S46+T46+U46+Y46</f>
        <v>1770</v>
      </c>
      <c r="G46" s="27">
        <f>V46+Z46</f>
        <v>269</v>
      </c>
      <c r="H46" s="9">
        <f>F46+G46</f>
        <v>2039</v>
      </c>
      <c r="I46" s="13">
        <f>D46+E46</f>
        <v>463</v>
      </c>
      <c r="J46" s="22">
        <f>(D46+E46+F46)/(D46+E46+F46+G46)</f>
        <v>0.8924860111910472</v>
      </c>
      <c r="K46" s="22">
        <f>I46/(H46+I46)</f>
        <v>0.1850519584332534</v>
      </c>
      <c r="L46" s="10">
        <f>F46/H46</f>
        <v>0.8680725846002942</v>
      </c>
      <c r="M46" s="10">
        <f>D46/(D46+E46)</f>
        <v>0</v>
      </c>
      <c r="N46" s="47">
        <v>0.00135</v>
      </c>
      <c r="O46" s="13" t="s">
        <v>16</v>
      </c>
      <c r="P46" s="27" t="str">
        <f>"MTBF  "&amp;ROUND(R46,0)&amp;" years"</f>
        <v>MTBF  56 years</v>
      </c>
      <c r="Q46" s="60">
        <f>1/N46</f>
        <v>740.7407407407406</v>
      </c>
      <c r="R46" s="57">
        <f>1000000000/((F46+G46)*24*365)</f>
        <v>55.985900510815355</v>
      </c>
      <c r="S46" s="66">
        <v>13</v>
      </c>
      <c r="T46" s="66">
        <v>1667</v>
      </c>
      <c r="U46" s="66">
        <v>90</v>
      </c>
      <c r="V46" s="66">
        <v>269</v>
      </c>
      <c r="W46" s="66">
        <v>449</v>
      </c>
      <c r="X46" s="66">
        <v>14</v>
      </c>
      <c r="Y46" s="50"/>
      <c r="Z46" s="50"/>
      <c r="AA46" s="26" t="str">
        <f t="shared" si="14"/>
        <v>MVD 2700    option B &amp; C</v>
      </c>
    </row>
    <row r="47" spans="1:27" s="74" customFormat="1" ht="12.75" customHeight="1">
      <c r="A47" s="14"/>
      <c r="B47" s="14"/>
      <c r="C47" s="14"/>
      <c r="D47" s="15"/>
      <c r="E47" s="33"/>
      <c r="F47" s="33"/>
      <c r="G47" s="33"/>
      <c r="H47" s="31"/>
      <c r="I47" s="15"/>
      <c r="J47" s="23"/>
      <c r="K47" s="24"/>
      <c r="L47" s="25"/>
      <c r="M47" s="25"/>
      <c r="N47" s="15"/>
      <c r="O47" s="15"/>
      <c r="P47" s="33"/>
      <c r="Q47" s="62"/>
      <c r="R47" s="58"/>
      <c r="S47" s="72"/>
      <c r="T47" s="72"/>
      <c r="U47" s="72"/>
      <c r="V47" s="72"/>
      <c r="W47" s="72"/>
      <c r="X47" s="72"/>
      <c r="Y47" s="73"/>
      <c r="Z47" s="73"/>
      <c r="AA47" s="2"/>
    </row>
    <row r="48" spans="1:27" s="50" customFormat="1" ht="36" customHeight="1">
      <c r="A48" s="19" t="s">
        <v>97</v>
      </c>
      <c r="B48" s="19" t="s">
        <v>96</v>
      </c>
      <c r="C48" s="77" t="s">
        <v>17</v>
      </c>
      <c r="D48" s="19">
        <v>0</v>
      </c>
      <c r="E48" s="27">
        <f>W48+X48</f>
        <v>344</v>
      </c>
      <c r="F48" s="27">
        <f>S48+T48+U48+Y48</f>
        <v>427</v>
      </c>
      <c r="G48" s="27">
        <f>V48+Z48</f>
        <v>296</v>
      </c>
      <c r="H48" s="9">
        <f>F48+G48</f>
        <v>723</v>
      </c>
      <c r="I48" s="19">
        <f>D48+E48</f>
        <v>344</v>
      </c>
      <c r="J48" s="22">
        <f>(D48+E48+F48)/(D48+E48+F48+G48)</f>
        <v>0.7225866916588566</v>
      </c>
      <c r="K48" s="22">
        <f>I48/(H48+I48)</f>
        <v>0.32239925023430177</v>
      </c>
      <c r="L48" s="10">
        <f>F48/H48</f>
        <v>0.5905947441217151</v>
      </c>
      <c r="M48" s="10">
        <f>D48/(D48+E48)</f>
        <v>0</v>
      </c>
      <c r="N48" s="49" t="s">
        <v>18</v>
      </c>
      <c r="O48" s="19" t="s">
        <v>16</v>
      </c>
      <c r="P48" s="82" t="str">
        <f>"MTBF  "&amp;ROUND(R48,0)&amp;" years"</f>
        <v>MTBF  158 years</v>
      </c>
      <c r="Q48" s="60">
        <f>1/N48</f>
        <v>775.1937984496125</v>
      </c>
      <c r="R48" s="57">
        <f>1000000000/((F48+G48)*24*365)</f>
        <v>157.89108041708508</v>
      </c>
      <c r="S48" s="66">
        <v>75</v>
      </c>
      <c r="T48" s="66">
        <v>310</v>
      </c>
      <c r="U48" s="66">
        <v>42</v>
      </c>
      <c r="V48" s="66">
        <v>296</v>
      </c>
      <c r="W48" s="66">
        <v>344</v>
      </c>
      <c r="X48" s="66">
        <v>0</v>
      </c>
      <c r="AA48" s="56" t="str">
        <f t="shared" si="14"/>
        <v>Vortex  8800C</v>
      </c>
    </row>
    <row r="49" spans="5:27" s="78" customFormat="1" ht="15" customHeight="1">
      <c r="E49" s="33"/>
      <c r="F49" s="33"/>
      <c r="G49" s="33"/>
      <c r="H49" s="31"/>
      <c r="N49" s="73"/>
      <c r="P49" s="79"/>
      <c r="Q49" s="63"/>
      <c r="R49" s="79"/>
      <c r="S49" s="80"/>
      <c r="T49" s="80"/>
      <c r="U49" s="80"/>
      <c r="V49" s="80"/>
      <c r="W49" s="80"/>
      <c r="X49" s="80"/>
      <c r="Y49" s="79"/>
      <c r="Z49" s="79"/>
      <c r="AA49" s="2"/>
    </row>
    <row r="50" spans="1:27" s="51" customFormat="1" ht="31.5" customHeight="1">
      <c r="A50" s="9" t="s">
        <v>98</v>
      </c>
      <c r="B50" s="9" t="s">
        <v>47</v>
      </c>
      <c r="C50" s="9" t="s">
        <v>46</v>
      </c>
      <c r="D50" s="9">
        <v>0</v>
      </c>
      <c r="E50" s="27">
        <f>W50+X50</f>
        <v>287</v>
      </c>
      <c r="F50" s="27">
        <f>S50+T50+U50+Y50</f>
        <v>572</v>
      </c>
      <c r="G50" s="27">
        <f>V50+Z50</f>
        <v>318</v>
      </c>
      <c r="H50" s="9">
        <f>F50+G50</f>
        <v>890</v>
      </c>
      <c r="I50" s="9">
        <f>D50+E50</f>
        <v>287</v>
      </c>
      <c r="J50" s="22">
        <f>(D50+E50+F50)/(D50+E50+F50+G50)</f>
        <v>0.72982158028887</v>
      </c>
      <c r="K50" s="22">
        <f>I50/(H50+I50)</f>
        <v>0.24384027187765506</v>
      </c>
      <c r="L50" s="10">
        <f>F50/H50</f>
        <v>0.6426966292134831</v>
      </c>
      <c r="M50" s="10">
        <f>D50/(D50+E50)</f>
        <v>0</v>
      </c>
      <c r="N50" s="46">
        <v>0.00139</v>
      </c>
      <c r="O50" s="81" t="s">
        <v>16</v>
      </c>
      <c r="P50" s="82" t="str">
        <f>"MTBF  "&amp;ROUND(R50,0)&amp;" years"</f>
        <v>MTBF  128 years</v>
      </c>
      <c r="Q50" s="60">
        <f>1/N50</f>
        <v>719.4244604316547</v>
      </c>
      <c r="R50" s="57">
        <f>1000000000/((F50+G50)*24*365)</f>
        <v>128.2643271253399</v>
      </c>
      <c r="S50" s="67">
        <v>6</v>
      </c>
      <c r="T50" s="67">
        <v>480</v>
      </c>
      <c r="U50" s="67">
        <v>86</v>
      </c>
      <c r="V50" s="67">
        <v>318</v>
      </c>
      <c r="W50" s="67">
        <v>271</v>
      </c>
      <c r="X50" s="67">
        <v>16</v>
      </c>
      <c r="AA50" s="54" t="str">
        <f t="shared" si="14"/>
        <v>8732C Magmeter DC option</v>
      </c>
    </row>
    <row r="51" spans="1:27" s="51" customFormat="1" ht="45.75" customHeight="1">
      <c r="A51" s="9" t="s">
        <v>98</v>
      </c>
      <c r="B51" s="9" t="s">
        <v>48</v>
      </c>
      <c r="C51" s="9" t="s">
        <v>46</v>
      </c>
      <c r="D51" s="9">
        <v>0</v>
      </c>
      <c r="E51" s="27">
        <f>W51+X51</f>
        <v>274</v>
      </c>
      <c r="F51" s="27">
        <f>S51+T51+U51+Y51</f>
        <v>588</v>
      </c>
      <c r="G51" s="27">
        <f>V51+Z51</f>
        <v>328</v>
      </c>
      <c r="H51" s="9">
        <f>F51+G51</f>
        <v>916</v>
      </c>
      <c r="I51" s="9">
        <f>D51+E51</f>
        <v>274</v>
      </c>
      <c r="J51" s="22">
        <f>(D51+E51+F51)/(D51+E51+F51+G51)</f>
        <v>0.7243697478991596</v>
      </c>
      <c r="K51" s="22">
        <f>I51/(H51+I51)</f>
        <v>0.23025210084033612</v>
      </c>
      <c r="L51" s="10">
        <f>F51/H51</f>
        <v>0.6419213973799127</v>
      </c>
      <c r="M51" s="10">
        <f>D51/(D51+E51)</f>
        <v>0</v>
      </c>
      <c r="N51" s="46">
        <v>0.00144</v>
      </c>
      <c r="O51" s="81" t="s">
        <v>16</v>
      </c>
      <c r="P51" s="82" t="str">
        <f>"MTBF  "&amp;ROUND(R51,0)&amp;" years"</f>
        <v>MTBF  125 years</v>
      </c>
      <c r="Q51" s="60">
        <f>1/N51</f>
        <v>694.4444444444445</v>
      </c>
      <c r="R51" s="57">
        <f>1000000000/((F51+G51)*24*365)</f>
        <v>124.6236366174154</v>
      </c>
      <c r="S51" s="67">
        <v>6</v>
      </c>
      <c r="T51" s="67">
        <v>514</v>
      </c>
      <c r="U51" s="67">
        <v>68</v>
      </c>
      <c r="V51" s="67">
        <v>328</v>
      </c>
      <c r="W51" s="67">
        <v>258</v>
      </c>
      <c r="X51" s="67">
        <v>16</v>
      </c>
      <c r="AA51" s="54" t="str">
        <f t="shared" si="14"/>
        <v>8732C Magmeter AC option</v>
      </c>
    </row>
    <row r="52" spans="14:27" s="20" customFormat="1" ht="15" customHeight="1">
      <c r="N52" s="51"/>
      <c r="O52" s="52"/>
      <c r="P52" s="51"/>
      <c r="Q52" s="61"/>
      <c r="R52" s="51"/>
      <c r="S52" s="67"/>
      <c r="T52" s="67"/>
      <c r="U52" s="67"/>
      <c r="V52" s="67"/>
      <c r="W52" s="67"/>
      <c r="X52" s="67"/>
      <c r="Y52" s="51"/>
      <c r="Z52" s="51"/>
      <c r="AA52" s="26"/>
    </row>
    <row r="53" spans="14:27" s="20" customFormat="1" ht="15" customHeight="1">
      <c r="N53" s="51"/>
      <c r="O53" s="52"/>
      <c r="P53" s="51"/>
      <c r="Q53" s="61"/>
      <c r="R53" s="51"/>
      <c r="S53" s="67"/>
      <c r="T53" s="67"/>
      <c r="U53" s="67"/>
      <c r="V53" s="67"/>
      <c r="W53" s="67"/>
      <c r="X53" s="67"/>
      <c r="Y53" s="51"/>
      <c r="Z53" s="51"/>
      <c r="AA53" s="26"/>
    </row>
    <row r="54" spans="14:27" s="20" customFormat="1" ht="15" customHeight="1">
      <c r="N54" s="51"/>
      <c r="O54" s="52"/>
      <c r="P54" s="51"/>
      <c r="Q54" s="52"/>
      <c r="R54" s="51"/>
      <c r="S54" s="67"/>
      <c r="T54" s="67"/>
      <c r="U54" s="67"/>
      <c r="V54" s="67"/>
      <c r="W54" s="67"/>
      <c r="X54" s="67"/>
      <c r="Y54" s="51"/>
      <c r="Z54" s="51"/>
      <c r="AA54" s="26"/>
    </row>
    <row r="55" spans="14:27" s="20" customFormat="1" ht="15" customHeight="1">
      <c r="N55" s="51"/>
      <c r="O55" s="52"/>
      <c r="P55" s="51"/>
      <c r="Q55" s="52"/>
      <c r="R55" s="51"/>
      <c r="S55" s="67"/>
      <c r="T55" s="67"/>
      <c r="U55" s="67"/>
      <c r="V55" s="67"/>
      <c r="W55" s="67"/>
      <c r="X55" s="67"/>
      <c r="Y55" s="51"/>
      <c r="Z55" s="51"/>
      <c r="AA55" s="26"/>
    </row>
    <row r="56" spans="14:27" s="20" customFormat="1" ht="15" customHeight="1">
      <c r="N56" s="51"/>
      <c r="O56" s="52"/>
      <c r="P56" s="51"/>
      <c r="Q56" s="52"/>
      <c r="R56" s="51"/>
      <c r="S56" s="67"/>
      <c r="T56" s="67"/>
      <c r="U56" s="67"/>
      <c r="V56" s="67"/>
      <c r="W56" s="67"/>
      <c r="X56" s="67"/>
      <c r="Y56" s="51"/>
      <c r="Z56" s="51"/>
      <c r="AA56" s="26"/>
    </row>
    <row r="57" spans="14:27" s="20" customFormat="1" ht="15" customHeight="1">
      <c r="N57" s="51"/>
      <c r="P57" s="51"/>
      <c r="R57" s="51"/>
      <c r="S57" s="67"/>
      <c r="T57" s="67"/>
      <c r="U57" s="67"/>
      <c r="V57" s="67"/>
      <c r="W57" s="67"/>
      <c r="X57" s="67"/>
      <c r="Y57" s="51"/>
      <c r="Z57" s="51"/>
      <c r="AA57" s="26"/>
    </row>
    <row r="58" spans="16:27" s="20" customFormat="1" ht="15" customHeight="1">
      <c r="P58" s="51"/>
      <c r="R58" s="51"/>
      <c r="S58" s="51"/>
      <c r="T58" s="51"/>
      <c r="U58" s="51"/>
      <c r="V58" s="51"/>
      <c r="W58" s="51"/>
      <c r="X58" s="67"/>
      <c r="Y58" s="51"/>
      <c r="Z58" s="51"/>
      <c r="AA58" s="26"/>
    </row>
    <row r="59" spans="18:27" ht="12">
      <c r="R59" s="55"/>
      <c r="S59" s="55"/>
      <c r="T59" s="55"/>
      <c r="U59" s="55"/>
      <c r="V59" s="55"/>
      <c r="W59" s="55"/>
      <c r="X59" s="67"/>
      <c r="Y59" s="55"/>
      <c r="Z59" s="55"/>
      <c r="AA59" s="26"/>
    </row>
    <row r="60" spans="18:27" ht="12">
      <c r="R60" s="55"/>
      <c r="S60" s="55"/>
      <c r="T60" s="55"/>
      <c r="U60" s="55"/>
      <c r="V60" s="55"/>
      <c r="W60" s="55"/>
      <c r="X60" s="67"/>
      <c r="Y60" s="55"/>
      <c r="Z60" s="55"/>
      <c r="AA60" s="26"/>
    </row>
    <row r="61" spans="19:27" ht="12">
      <c r="S61" s="55"/>
      <c r="T61" s="55"/>
      <c r="U61" s="55"/>
      <c r="V61" s="55"/>
      <c r="W61" s="55"/>
      <c r="X61" s="55"/>
      <c r="Y61" s="55"/>
      <c r="Z61" s="55"/>
      <c r="AA61" s="26">
        <f t="shared" si="14"/>
        <v>0</v>
      </c>
    </row>
    <row r="62" spans="19:27" ht="12">
      <c r="S62" s="55"/>
      <c r="T62" s="55"/>
      <c r="U62" s="55"/>
      <c r="V62" s="55"/>
      <c r="W62" s="55"/>
      <c r="X62" s="55"/>
      <c r="Y62" s="55"/>
      <c r="Z62" s="55"/>
      <c r="AA62" s="26">
        <f t="shared" si="14"/>
        <v>0</v>
      </c>
    </row>
    <row r="63" spans="19:27" ht="12">
      <c r="S63" s="55"/>
      <c r="T63" s="55"/>
      <c r="U63" s="55"/>
      <c r="V63" s="55"/>
      <c r="W63" s="55"/>
      <c r="X63" s="55"/>
      <c r="Y63" s="55"/>
      <c r="Z63" s="55"/>
      <c r="AA63" s="26">
        <f t="shared" si="14"/>
        <v>0</v>
      </c>
    </row>
    <row r="64" spans="19:27" ht="12">
      <c r="S64" s="55"/>
      <c r="T64" s="55"/>
      <c r="U64" s="55"/>
      <c r="V64" s="55"/>
      <c r="W64" s="55"/>
      <c r="X64" s="55"/>
      <c r="Y64" s="55"/>
      <c r="Z64" s="55"/>
      <c r="AA64" s="26">
        <f t="shared" si="14"/>
        <v>0</v>
      </c>
    </row>
    <row r="65" spans="19:27" ht="12">
      <c r="S65" s="55"/>
      <c r="T65" s="55"/>
      <c r="U65" s="55"/>
      <c r="V65" s="55"/>
      <c r="W65" s="55"/>
      <c r="X65" s="55"/>
      <c r="Y65" s="55"/>
      <c r="Z65" s="55"/>
      <c r="AA65" s="26">
        <f t="shared" si="14"/>
        <v>0</v>
      </c>
    </row>
    <row r="66" spans="19:27" ht="12">
      <c r="S66" s="55"/>
      <c r="T66" s="55"/>
      <c r="U66" s="55"/>
      <c r="V66" s="55"/>
      <c r="W66" s="55"/>
      <c r="X66" s="55"/>
      <c r="Y66" s="55"/>
      <c r="Z66" s="55"/>
      <c r="AA66" s="26">
        <f t="shared" si="14"/>
        <v>0</v>
      </c>
    </row>
    <row r="67" spans="19:27" ht="12">
      <c r="S67" s="55"/>
      <c r="T67" s="55"/>
      <c r="U67" s="55"/>
      <c r="V67" s="55"/>
      <c r="W67" s="55"/>
      <c r="X67" s="55"/>
      <c r="Y67" s="55"/>
      <c r="Z67" s="55"/>
      <c r="AA67" s="26">
        <f t="shared" si="14"/>
        <v>0</v>
      </c>
    </row>
    <row r="68" spans="19:27" ht="12">
      <c r="S68" s="55"/>
      <c r="T68" s="55"/>
      <c r="U68" s="55"/>
      <c r="V68" s="55"/>
      <c r="W68" s="55"/>
      <c r="X68" s="55"/>
      <c r="Y68" s="55"/>
      <c r="Z68" s="55"/>
      <c r="AA68" s="26">
        <f t="shared" si="14"/>
        <v>0</v>
      </c>
    </row>
    <row r="69" spans="19:27" ht="12">
      <c r="S69" s="55"/>
      <c r="T69" s="55"/>
      <c r="U69" s="55"/>
      <c r="V69" s="55"/>
      <c r="W69" s="55"/>
      <c r="X69" s="55"/>
      <c r="Y69" s="55"/>
      <c r="Z69" s="55"/>
      <c r="AA69" s="26">
        <f t="shared" si="14"/>
        <v>0</v>
      </c>
    </row>
    <row r="70" spans="19:27" ht="12">
      <c r="S70" s="55"/>
      <c r="T70" s="55"/>
      <c r="U70" s="55"/>
      <c r="V70" s="55"/>
      <c r="W70" s="55"/>
      <c r="X70" s="55"/>
      <c r="Y70" s="55"/>
      <c r="Z70" s="55"/>
      <c r="AA70" s="26">
        <f t="shared" si="14"/>
        <v>0</v>
      </c>
    </row>
    <row r="71" spans="19:27" ht="12">
      <c r="S71" s="55"/>
      <c r="T71" s="55"/>
      <c r="U71" s="55"/>
      <c r="V71" s="55"/>
      <c r="W71" s="55"/>
      <c r="X71" s="55"/>
      <c r="Y71" s="55"/>
      <c r="Z71" s="55"/>
      <c r="AA71" s="26">
        <f t="shared" si="14"/>
        <v>0</v>
      </c>
    </row>
    <row r="72" spans="19:27" ht="12">
      <c r="S72" s="55"/>
      <c r="T72" s="55"/>
      <c r="U72" s="55"/>
      <c r="V72" s="55"/>
      <c r="W72" s="55"/>
      <c r="X72" s="55"/>
      <c r="Y72" s="55"/>
      <c r="Z72" s="55"/>
      <c r="AA72" s="26">
        <f t="shared" si="14"/>
        <v>0</v>
      </c>
    </row>
    <row r="73" spans="19:27" ht="12">
      <c r="S73" s="55"/>
      <c r="T73" s="55"/>
      <c r="U73" s="55"/>
      <c r="V73" s="55"/>
      <c r="W73" s="55"/>
      <c r="X73" s="55"/>
      <c r="Y73" s="55"/>
      <c r="Z73" s="55"/>
      <c r="AA73" s="26">
        <f t="shared" si="14"/>
        <v>0</v>
      </c>
    </row>
    <row r="74" spans="19:27" ht="12">
      <c r="S74" s="55"/>
      <c r="T74" s="55"/>
      <c r="U74" s="55"/>
      <c r="V74" s="55"/>
      <c r="W74" s="55"/>
      <c r="X74" s="55"/>
      <c r="Y74" s="55"/>
      <c r="Z74" s="55"/>
      <c r="AA74" s="26">
        <f t="shared" si="14"/>
        <v>0</v>
      </c>
    </row>
    <row r="75" spans="19:27" ht="12">
      <c r="S75" s="55"/>
      <c r="T75" s="55"/>
      <c r="U75" s="55"/>
      <c r="V75" s="55"/>
      <c r="W75" s="55"/>
      <c r="X75" s="55"/>
      <c r="Y75" s="55"/>
      <c r="Z75" s="55"/>
      <c r="AA75" s="26">
        <f t="shared" si="14"/>
        <v>0</v>
      </c>
    </row>
    <row r="76" spans="19:27" ht="12">
      <c r="S76" s="55"/>
      <c r="T76" s="55"/>
      <c r="U76" s="55"/>
      <c r="V76" s="55"/>
      <c r="W76" s="55"/>
      <c r="X76" s="55"/>
      <c r="Y76" s="55"/>
      <c r="Z76" s="55"/>
      <c r="AA76" s="26">
        <f t="shared" si="14"/>
        <v>0</v>
      </c>
    </row>
    <row r="77" spans="19:27" ht="12">
      <c r="S77" s="55"/>
      <c r="T77" s="55"/>
      <c r="U77" s="55"/>
      <c r="V77" s="55"/>
      <c r="W77" s="55"/>
      <c r="X77" s="55"/>
      <c r="Y77" s="55"/>
      <c r="Z77" s="55"/>
      <c r="AA77" s="26">
        <f t="shared" si="14"/>
        <v>0</v>
      </c>
    </row>
    <row r="78" spans="25:27" ht="12">
      <c r="Y78" s="55"/>
      <c r="Z78" s="55"/>
      <c r="AA78" s="26">
        <f t="shared" si="14"/>
        <v>0</v>
      </c>
    </row>
    <row r="79" ht="12">
      <c r="AA79" s="26">
        <f t="shared" si="14"/>
        <v>0</v>
      </c>
    </row>
    <row r="80" ht="12">
      <c r="AA80" s="26">
        <f t="shared" si="14"/>
        <v>0</v>
      </c>
    </row>
    <row r="81" ht="12">
      <c r="AA81" s="26">
        <f t="shared" si="14"/>
        <v>0</v>
      </c>
    </row>
    <row r="82" ht="12">
      <c r="AA82" s="26">
        <f t="shared" si="14"/>
        <v>0</v>
      </c>
    </row>
    <row r="83" ht="12">
      <c r="AA83" s="26">
        <f t="shared" si="14"/>
        <v>0</v>
      </c>
    </row>
    <row r="84" ht="12">
      <c r="AA84" s="26">
        <f t="shared" si="14"/>
        <v>0</v>
      </c>
    </row>
    <row r="85" ht="12">
      <c r="AA85" s="26">
        <f t="shared" si="14"/>
        <v>0</v>
      </c>
    </row>
    <row r="86" ht="12">
      <c r="AA86" s="26">
        <f t="shared" si="14"/>
        <v>0</v>
      </c>
    </row>
    <row r="87" ht="12">
      <c r="AA87" s="26">
        <f t="shared" si="14"/>
        <v>0</v>
      </c>
    </row>
    <row r="88" ht="12">
      <c r="AA88" s="26">
        <f t="shared" si="14"/>
        <v>0</v>
      </c>
    </row>
    <row r="89" ht="12">
      <c r="AA89" s="26">
        <f t="shared" si="14"/>
        <v>0</v>
      </c>
    </row>
    <row r="90" ht="12">
      <c r="AA90" s="26">
        <f t="shared" si="14"/>
        <v>0</v>
      </c>
    </row>
    <row r="91" ht="12">
      <c r="AA91" s="26">
        <f t="shared" si="14"/>
        <v>0</v>
      </c>
    </row>
    <row r="92" ht="12">
      <c r="AA92" s="26">
        <f t="shared" si="14"/>
        <v>0</v>
      </c>
    </row>
    <row r="93" ht="12">
      <c r="AA93" s="26">
        <f t="shared" si="14"/>
        <v>0</v>
      </c>
    </row>
    <row r="94" ht="12">
      <c r="AA94" s="26">
        <f t="shared" si="14"/>
        <v>0</v>
      </c>
    </row>
    <row r="95" ht="12">
      <c r="AA95" s="26">
        <f t="shared" si="14"/>
        <v>0</v>
      </c>
    </row>
    <row r="96" ht="12">
      <c r="AA96" s="26">
        <f t="shared" si="14"/>
        <v>0</v>
      </c>
    </row>
    <row r="97" ht="12">
      <c r="AA97" s="26">
        <f t="shared" si="14"/>
        <v>0</v>
      </c>
    </row>
    <row r="98" ht="12">
      <c r="AA98" s="26">
        <f t="shared" si="14"/>
        <v>0</v>
      </c>
    </row>
    <row r="99" ht="12">
      <c r="AA99" s="26">
        <f aca="true" t="shared" si="16" ref="AA99:AA121">B99</f>
        <v>0</v>
      </c>
    </row>
    <row r="100" ht="12">
      <c r="AA100" s="26">
        <f t="shared" si="16"/>
        <v>0</v>
      </c>
    </row>
    <row r="101" ht="12">
      <c r="AA101" s="26">
        <f t="shared" si="16"/>
        <v>0</v>
      </c>
    </row>
    <row r="102" ht="12">
      <c r="AA102" s="26">
        <f t="shared" si="16"/>
        <v>0</v>
      </c>
    </row>
    <row r="103" ht="12">
      <c r="AA103" s="26">
        <f t="shared" si="16"/>
        <v>0</v>
      </c>
    </row>
    <row r="104" ht="12">
      <c r="AA104" s="26">
        <f t="shared" si="16"/>
        <v>0</v>
      </c>
    </row>
    <row r="105" ht="12">
      <c r="AA105" s="26">
        <f t="shared" si="16"/>
        <v>0</v>
      </c>
    </row>
    <row r="106" ht="12">
      <c r="AA106" s="26">
        <f t="shared" si="16"/>
        <v>0</v>
      </c>
    </row>
    <row r="107" ht="12">
      <c r="AA107" s="26">
        <f t="shared" si="16"/>
        <v>0</v>
      </c>
    </row>
    <row r="108" ht="12">
      <c r="AA108" s="26">
        <f t="shared" si="16"/>
        <v>0</v>
      </c>
    </row>
    <row r="109" ht="12">
      <c r="AA109" s="26">
        <f t="shared" si="16"/>
        <v>0</v>
      </c>
    </row>
    <row r="110" ht="12">
      <c r="AA110" s="26">
        <f t="shared" si="16"/>
        <v>0</v>
      </c>
    </row>
    <row r="111" ht="12">
      <c r="AA111" s="26">
        <f t="shared" si="16"/>
        <v>0</v>
      </c>
    </row>
    <row r="112" ht="12">
      <c r="AA112" s="26">
        <f t="shared" si="16"/>
        <v>0</v>
      </c>
    </row>
    <row r="113" ht="12">
      <c r="AA113" s="26">
        <f t="shared" si="16"/>
        <v>0</v>
      </c>
    </row>
    <row r="114" ht="12">
      <c r="AA114" s="26">
        <f t="shared" si="16"/>
        <v>0</v>
      </c>
    </row>
    <row r="115" ht="12">
      <c r="AA115" s="26">
        <f t="shared" si="16"/>
        <v>0</v>
      </c>
    </row>
    <row r="116" ht="12">
      <c r="AA116" s="26">
        <f t="shared" si="16"/>
        <v>0</v>
      </c>
    </row>
    <row r="117" ht="12">
      <c r="AA117" s="26">
        <f t="shared" si="16"/>
        <v>0</v>
      </c>
    </row>
    <row r="118" ht="12">
      <c r="AA118" s="26">
        <f t="shared" si="16"/>
        <v>0</v>
      </c>
    </row>
    <row r="119" ht="12">
      <c r="AA119" s="26">
        <f t="shared" si="16"/>
        <v>0</v>
      </c>
    </row>
    <row r="120" ht="12">
      <c r="AA120" s="26">
        <f t="shared" si="16"/>
        <v>0</v>
      </c>
    </row>
    <row r="121" ht="12">
      <c r="AA121" s="26">
        <f t="shared" si="16"/>
        <v>0</v>
      </c>
    </row>
  </sheetData>
  <sheetProtection password="8E70" sheet="1" objects="1" scenarios="1"/>
  <printOptions/>
  <pageMargins left="0.75" right="0.75" top="1" bottom="1" header="0.4921259845" footer="0.4921259845"/>
  <pageSetup fitToWidth="2" fitToHeight="1" horizontalDpi="300" verticalDpi="3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Process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Rev2 FMEDA Summary Results of all Emerson Process Management Products</dc:title>
  <dc:subject/>
  <dc:creator>Klaus Brockmann</dc:creator>
  <cp:keywords/>
  <dc:description/>
  <cp:lastModifiedBy>DeltaV Marketing</cp:lastModifiedBy>
  <cp:lastPrinted>2003-11-14T15:09:49Z</cp:lastPrinted>
  <dcterms:created xsi:type="dcterms:W3CDTF">2003-09-19T08:51:47Z</dcterms:created>
  <dcterms:modified xsi:type="dcterms:W3CDTF">2003-11-24T14:36:15Z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-1469374486</vt:i4>
  </property>
  <property fmtid="{D5CDD505-2E9C-101B-9397-08002B2CF9AE}" pid="3" name="_EmailSubject">
    <vt:lpwstr/>
  </property>
  <property fmtid="{D5CDD505-2E9C-101B-9397-08002B2CF9AE}" pid="4" name="_AuthorEmail">
    <vt:lpwstr>Klaus.Brockmann@EmersonProcess.com</vt:lpwstr>
  </property>
  <property fmtid="{D5CDD505-2E9C-101B-9397-08002B2CF9AE}" pid="5" name="_AuthorEmailDisplayName">
    <vt:lpwstr>Brockmann, Klaus [FRCO/HAAN]</vt:lpwstr>
  </property>
  <property fmtid="{D5CDD505-2E9C-101B-9397-08002B2CF9AE}" pid="6" name="_ReviewingToolsShownOnce">
    <vt:lpwstr/>
  </property>
  <property fmtid="{D5CDD505-2E9C-101B-9397-08002B2CF9AE}" pid="7" name="Divisions">
    <vt:lpwstr>8</vt:lpwstr>
  </property>
  <property fmtid="{D5CDD505-2E9C-101B-9397-08002B2CF9AE}" pid="8" name="Owner">
    <vt:lpwstr>mailto:Duncan.Schleiss@emersonprocess.com, Duncan Schleiss</vt:lpwstr>
  </property>
  <property fmtid="{D5CDD505-2E9C-101B-9397-08002B2CF9AE}" pid="9" name="Document Type">
    <vt:lpwstr>5</vt:lpwstr>
  </property>
</Properties>
</file>